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Yann BELLOIR\Downloads\XERFI_2023\ECOMIDENT_JUIN\"/>
    </mc:Choice>
  </mc:AlternateContent>
  <xr:revisionPtr revIDLastSave="0" documentId="13_ncr:1_{900546A2-22B0-4E5C-906B-C3D01A02501F}" xr6:coauthVersionLast="47" xr6:coauthVersionMax="47" xr10:uidLastSave="{00000000-0000-0000-0000-000000000000}"/>
  <bookViews>
    <workbookView xWindow="-28032" yWindow="-5952" windowWidth="23016" windowHeight="11856" tabRatio="1000" activeTab="1" xr2:uid="{00000000-000D-0000-FFFF-FFFF00000000}"/>
  </bookViews>
  <sheets>
    <sheet name="Calcul" sheetId="2" r:id="rId1"/>
    <sheet name="donnees finess" sheetId="1" r:id="rId2"/>
  </sheets>
  <definedNames>
    <definedName name="_xlnm._FilterDatabase" localSheetId="1" hidden="1">'donnees finess'!$A$1:$U$3213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13" i="1" l="1"/>
  <c r="R613" i="1"/>
  <c r="Q613" i="1"/>
  <c r="P613" i="1"/>
  <c r="O613" i="1"/>
  <c r="N613" i="1"/>
  <c r="M613" i="1"/>
  <c r="J613" i="1"/>
  <c r="I613" i="1"/>
  <c r="H613" i="1"/>
  <c r="G613" i="1"/>
  <c r="F613" i="1"/>
  <c r="D613" i="1"/>
  <c r="B613" i="1"/>
  <c r="A613" i="1"/>
  <c r="U208" i="1"/>
  <c r="R208" i="1"/>
  <c r="Q208" i="1"/>
  <c r="P208" i="1"/>
  <c r="O208" i="1"/>
  <c r="N208" i="1"/>
  <c r="M208" i="1"/>
  <c r="I208" i="1"/>
  <c r="H208" i="1"/>
  <c r="F208" i="1"/>
  <c r="D208" i="1"/>
  <c r="B208" i="1"/>
  <c r="A208" i="1"/>
  <c r="U1447" i="1"/>
  <c r="R1447" i="1"/>
  <c r="Q1447" i="1"/>
  <c r="P1447" i="1"/>
  <c r="O1447" i="1"/>
  <c r="N1447" i="1"/>
  <c r="M1447" i="1"/>
  <c r="I1447" i="1"/>
  <c r="H1447" i="1"/>
  <c r="G1447" i="1"/>
  <c r="F1447" i="1"/>
  <c r="D1447" i="1"/>
  <c r="A1447" i="1"/>
  <c r="U2182" i="1"/>
  <c r="R2182" i="1"/>
  <c r="Q2182" i="1"/>
  <c r="P2182" i="1"/>
  <c r="O2182" i="1"/>
  <c r="N2182" i="1"/>
  <c r="M2182" i="1"/>
  <c r="K2182" i="1"/>
  <c r="J2182" i="1"/>
  <c r="I2182" i="1"/>
  <c r="H2182" i="1"/>
  <c r="G2182" i="1"/>
  <c r="F2182" i="1"/>
  <c r="D2182" i="1"/>
  <c r="B2182" i="1"/>
  <c r="A2182" i="1"/>
  <c r="U225" i="1"/>
  <c r="R225" i="1"/>
  <c r="Q225" i="1"/>
  <c r="P225" i="1"/>
  <c r="O225" i="1"/>
  <c r="N225" i="1"/>
  <c r="M225" i="1"/>
  <c r="J225" i="1"/>
  <c r="I225" i="1"/>
  <c r="H225" i="1"/>
  <c r="F225" i="1"/>
  <c r="D225" i="1"/>
  <c r="A225" i="1"/>
  <c r="U576" i="1"/>
  <c r="R576" i="1"/>
  <c r="Q576" i="1"/>
  <c r="P576" i="1"/>
  <c r="O576" i="1"/>
  <c r="N576" i="1"/>
  <c r="M576" i="1"/>
  <c r="J576" i="1"/>
  <c r="I576" i="1"/>
  <c r="H576" i="1"/>
  <c r="F576" i="1"/>
  <c r="D576" i="1"/>
  <c r="B576" i="1"/>
  <c r="A576" i="1"/>
  <c r="U575" i="1"/>
  <c r="R575" i="1"/>
  <c r="Q575" i="1"/>
  <c r="P575" i="1"/>
  <c r="O575" i="1"/>
  <c r="N575" i="1"/>
  <c r="M575" i="1"/>
  <c r="J575" i="1"/>
  <c r="I575" i="1"/>
  <c r="H575" i="1"/>
  <c r="G575" i="1"/>
  <c r="F575" i="1"/>
  <c r="D575" i="1"/>
  <c r="B575" i="1"/>
  <c r="A575" i="1"/>
  <c r="U865" i="1"/>
  <c r="R865" i="1"/>
  <c r="Q865" i="1"/>
  <c r="P865" i="1"/>
  <c r="O865" i="1"/>
  <c r="N865" i="1"/>
  <c r="M865" i="1"/>
  <c r="J865" i="1"/>
  <c r="I865" i="1"/>
  <c r="H865" i="1"/>
  <c r="F865" i="1"/>
  <c r="D865" i="1"/>
  <c r="B865" i="1"/>
  <c r="A865" i="1"/>
  <c r="U1113" i="1"/>
  <c r="R1113" i="1"/>
  <c r="Q1113" i="1"/>
  <c r="P1113" i="1"/>
  <c r="O1113" i="1"/>
  <c r="N1113" i="1"/>
  <c r="M1113" i="1"/>
  <c r="J1113" i="1"/>
  <c r="I1113" i="1"/>
  <c r="H1113" i="1"/>
  <c r="F1113" i="1"/>
  <c r="D1113" i="1"/>
  <c r="B1113" i="1"/>
  <c r="A1113" i="1"/>
  <c r="U1739" i="1"/>
  <c r="R1739" i="1"/>
  <c r="Q1739" i="1"/>
  <c r="P1739" i="1"/>
  <c r="O1739" i="1"/>
  <c r="N1739" i="1"/>
  <c r="M1739" i="1"/>
  <c r="I1739" i="1"/>
  <c r="H1739" i="1"/>
  <c r="F1739" i="1"/>
  <c r="D1739" i="1"/>
  <c r="B1739" i="1"/>
  <c r="A1739" i="1"/>
  <c r="U555" i="1"/>
  <c r="R555" i="1"/>
  <c r="Q555" i="1"/>
  <c r="P555" i="1"/>
  <c r="O555" i="1"/>
  <c r="N555" i="1"/>
  <c r="M555" i="1"/>
  <c r="K555" i="1"/>
  <c r="J555" i="1"/>
  <c r="I555" i="1"/>
  <c r="H555" i="1"/>
  <c r="G555" i="1"/>
  <c r="F555" i="1"/>
  <c r="D555" i="1"/>
  <c r="A555" i="1"/>
  <c r="U155" i="1"/>
  <c r="R155" i="1"/>
  <c r="Q155" i="1"/>
  <c r="P155" i="1"/>
  <c r="O155" i="1"/>
  <c r="N155" i="1"/>
  <c r="M155" i="1"/>
  <c r="I155" i="1"/>
  <c r="H155" i="1"/>
  <c r="F155" i="1"/>
  <c r="D155" i="1"/>
  <c r="B155" i="1"/>
  <c r="A155" i="1"/>
  <c r="U246" i="1"/>
  <c r="R246" i="1"/>
  <c r="Q246" i="1"/>
  <c r="P246" i="1"/>
  <c r="O246" i="1"/>
  <c r="N246" i="1"/>
  <c r="M246" i="1"/>
  <c r="J246" i="1"/>
  <c r="I246" i="1"/>
  <c r="H246" i="1"/>
  <c r="F246" i="1"/>
  <c r="D246" i="1"/>
  <c r="B246" i="1"/>
  <c r="A246" i="1"/>
  <c r="U80" i="1"/>
  <c r="R80" i="1"/>
  <c r="Q80" i="1"/>
  <c r="P80" i="1"/>
  <c r="O80" i="1"/>
  <c r="N80" i="1"/>
  <c r="M80" i="1"/>
  <c r="K80" i="1"/>
  <c r="J80" i="1"/>
  <c r="I80" i="1"/>
  <c r="H80" i="1"/>
  <c r="F80" i="1"/>
  <c r="D80" i="1"/>
  <c r="B80" i="1"/>
  <c r="A80" i="1"/>
  <c r="U79" i="1"/>
  <c r="R79" i="1"/>
  <c r="Q79" i="1"/>
  <c r="P79" i="1"/>
  <c r="O79" i="1"/>
  <c r="N79" i="1"/>
  <c r="M79" i="1"/>
  <c r="K79" i="1"/>
  <c r="J79" i="1"/>
  <c r="I79" i="1"/>
  <c r="H79" i="1"/>
  <c r="F79" i="1"/>
  <c r="D79" i="1"/>
  <c r="B79" i="1"/>
  <c r="A79" i="1"/>
  <c r="U78" i="1"/>
  <c r="R78" i="1"/>
  <c r="Q78" i="1"/>
  <c r="P78" i="1"/>
  <c r="O78" i="1"/>
  <c r="N78" i="1"/>
  <c r="M78" i="1"/>
  <c r="K78" i="1"/>
  <c r="J78" i="1"/>
  <c r="I78" i="1"/>
  <c r="H78" i="1"/>
  <c r="F78" i="1"/>
  <c r="D78" i="1"/>
  <c r="B78" i="1"/>
  <c r="A78" i="1"/>
  <c r="U222" i="1"/>
  <c r="R222" i="1"/>
  <c r="Q222" i="1"/>
  <c r="P222" i="1"/>
  <c r="O222" i="1"/>
  <c r="N222" i="1"/>
  <c r="M222" i="1"/>
  <c r="I222" i="1"/>
  <c r="H222" i="1"/>
  <c r="F222" i="1"/>
  <c r="D222" i="1"/>
  <c r="A222" i="1"/>
  <c r="U156" i="1"/>
  <c r="R156" i="1"/>
  <c r="Q156" i="1"/>
  <c r="P156" i="1"/>
  <c r="O156" i="1"/>
  <c r="N156" i="1"/>
  <c r="M156" i="1"/>
  <c r="J156" i="1"/>
  <c r="I156" i="1"/>
  <c r="H156" i="1"/>
  <c r="G156" i="1"/>
  <c r="F156" i="1"/>
  <c r="D156" i="1"/>
  <c r="A156" i="1"/>
  <c r="U463" i="1"/>
  <c r="R463" i="1"/>
  <c r="Q463" i="1"/>
  <c r="P463" i="1"/>
  <c r="O463" i="1"/>
  <c r="N463" i="1"/>
  <c r="M463" i="1"/>
  <c r="I463" i="1"/>
  <c r="H463" i="1"/>
  <c r="F463" i="1"/>
  <c r="E463" i="1"/>
  <c r="D463" i="1"/>
  <c r="A463" i="1"/>
  <c r="U858" i="1"/>
  <c r="R858" i="1"/>
  <c r="Q858" i="1"/>
  <c r="P858" i="1"/>
  <c r="O858" i="1"/>
  <c r="N858" i="1"/>
  <c r="M858" i="1"/>
  <c r="J858" i="1"/>
  <c r="I858" i="1"/>
  <c r="H858" i="1"/>
  <c r="G858" i="1"/>
  <c r="F858" i="1"/>
  <c r="D858" i="1"/>
  <c r="B858" i="1"/>
  <c r="A858" i="1"/>
  <c r="U857" i="1"/>
  <c r="R857" i="1"/>
  <c r="Q857" i="1"/>
  <c r="P857" i="1"/>
  <c r="O857" i="1"/>
  <c r="N857" i="1"/>
  <c r="M857" i="1"/>
  <c r="J857" i="1"/>
  <c r="I857" i="1"/>
  <c r="H857" i="1"/>
  <c r="G857" i="1"/>
  <c r="F857" i="1"/>
  <c r="D857" i="1"/>
  <c r="A857" i="1"/>
  <c r="U779" i="1"/>
  <c r="R779" i="1"/>
  <c r="Q779" i="1"/>
  <c r="P779" i="1"/>
  <c r="O779" i="1"/>
  <c r="N779" i="1"/>
  <c r="M779" i="1"/>
  <c r="J779" i="1"/>
  <c r="I779" i="1"/>
  <c r="H779" i="1"/>
  <c r="F779" i="1"/>
  <c r="D779" i="1"/>
  <c r="B779" i="1"/>
  <c r="A779" i="1"/>
  <c r="U1607" i="1"/>
  <c r="R1607" i="1"/>
  <c r="Q1607" i="1"/>
  <c r="P1607" i="1"/>
  <c r="O1607" i="1"/>
  <c r="N1607" i="1"/>
  <c r="M1607" i="1"/>
  <c r="J1607" i="1"/>
  <c r="I1607" i="1"/>
  <c r="H1607" i="1"/>
  <c r="G1607" i="1"/>
  <c r="F1607" i="1"/>
  <c r="D1607" i="1"/>
  <c r="B1607" i="1"/>
  <c r="A1607" i="1"/>
  <c r="U1853" i="1"/>
  <c r="R1853" i="1"/>
  <c r="Q1853" i="1"/>
  <c r="P1853" i="1"/>
  <c r="O1853" i="1"/>
  <c r="N1853" i="1"/>
  <c r="M1853" i="1"/>
  <c r="K1853" i="1"/>
  <c r="J1853" i="1"/>
  <c r="I1853" i="1"/>
  <c r="H1853" i="1"/>
  <c r="F1853" i="1"/>
  <c r="D1853" i="1"/>
  <c r="B1853" i="1"/>
  <c r="A1853" i="1"/>
  <c r="U2196" i="1"/>
  <c r="R2196" i="1"/>
  <c r="Q2196" i="1"/>
  <c r="P2196" i="1"/>
  <c r="O2196" i="1"/>
  <c r="N2196" i="1"/>
  <c r="M2196" i="1"/>
  <c r="K2196" i="1"/>
  <c r="J2196" i="1"/>
  <c r="I2196" i="1"/>
  <c r="H2196" i="1"/>
  <c r="F2196" i="1"/>
  <c r="E2196" i="1"/>
  <c r="D2196" i="1"/>
  <c r="B2196" i="1"/>
  <c r="A2196" i="1"/>
  <c r="U2432" i="1"/>
  <c r="R2432" i="1"/>
  <c r="Q2432" i="1"/>
  <c r="P2432" i="1"/>
  <c r="O2432" i="1"/>
  <c r="N2432" i="1"/>
  <c r="M2432" i="1"/>
  <c r="K2432" i="1"/>
  <c r="J2432" i="1"/>
  <c r="I2432" i="1"/>
  <c r="H2432" i="1"/>
  <c r="G2432" i="1"/>
  <c r="F2432" i="1"/>
  <c r="D2432" i="1"/>
  <c r="B2432" i="1"/>
  <c r="A2432" i="1"/>
  <c r="U437" i="1"/>
  <c r="R437" i="1"/>
  <c r="Q437" i="1"/>
  <c r="P437" i="1"/>
  <c r="O437" i="1"/>
  <c r="N437" i="1"/>
  <c r="M437" i="1"/>
  <c r="J437" i="1"/>
  <c r="I437" i="1"/>
  <c r="H437" i="1"/>
  <c r="G437" i="1"/>
  <c r="F437" i="1"/>
  <c r="D437" i="1"/>
  <c r="B437" i="1"/>
  <c r="A437" i="1"/>
  <c r="U432" i="1"/>
  <c r="R432" i="1"/>
  <c r="Q432" i="1"/>
  <c r="P432" i="1"/>
  <c r="O432" i="1"/>
  <c r="N432" i="1"/>
  <c r="M432" i="1"/>
  <c r="I432" i="1"/>
  <c r="H432" i="1"/>
  <c r="F432" i="1"/>
  <c r="D432" i="1"/>
  <c r="B432" i="1"/>
  <c r="A432" i="1"/>
  <c r="U431" i="1"/>
  <c r="R431" i="1"/>
  <c r="Q431" i="1"/>
  <c r="P431" i="1"/>
  <c r="O431" i="1"/>
  <c r="N431" i="1"/>
  <c r="M431" i="1"/>
  <c r="I431" i="1"/>
  <c r="H431" i="1"/>
  <c r="G431" i="1"/>
  <c r="F431" i="1"/>
  <c r="E431" i="1"/>
  <c r="D431" i="1"/>
  <c r="B431" i="1"/>
  <c r="A431" i="1"/>
  <c r="U962" i="1"/>
  <c r="R962" i="1"/>
  <c r="Q962" i="1"/>
  <c r="P962" i="1"/>
  <c r="O962" i="1"/>
  <c r="N962" i="1"/>
  <c r="M962" i="1"/>
  <c r="J962" i="1"/>
  <c r="I962" i="1"/>
  <c r="H962" i="1"/>
  <c r="F962" i="1"/>
  <c r="D962" i="1"/>
  <c r="B962" i="1"/>
  <c r="A962" i="1"/>
  <c r="U1032" i="1"/>
  <c r="R1032" i="1"/>
  <c r="Q1032" i="1"/>
  <c r="P1032" i="1"/>
  <c r="O1032" i="1"/>
  <c r="N1032" i="1"/>
  <c r="M1032" i="1"/>
  <c r="J1032" i="1"/>
  <c r="I1032" i="1"/>
  <c r="H1032" i="1"/>
  <c r="F1032" i="1"/>
  <c r="E1032" i="1"/>
  <c r="D1032" i="1"/>
  <c r="B1032" i="1"/>
  <c r="A1032" i="1"/>
  <c r="U1031" i="1"/>
  <c r="R1031" i="1"/>
  <c r="Q1031" i="1"/>
  <c r="P1031" i="1"/>
  <c r="O1031" i="1"/>
  <c r="N1031" i="1"/>
  <c r="M1031" i="1"/>
  <c r="J1031" i="1"/>
  <c r="I1031" i="1"/>
  <c r="H1031" i="1"/>
  <c r="F1031" i="1"/>
  <c r="E1031" i="1"/>
  <c r="D1031" i="1"/>
  <c r="B1031" i="1"/>
  <c r="A1031" i="1"/>
  <c r="U1350" i="1"/>
  <c r="R1350" i="1"/>
  <c r="Q1350" i="1"/>
  <c r="P1350" i="1"/>
  <c r="O1350" i="1"/>
  <c r="N1350" i="1"/>
  <c r="M1350" i="1"/>
  <c r="I1350" i="1"/>
  <c r="H1350" i="1"/>
  <c r="F1350" i="1"/>
  <c r="D1350" i="1"/>
  <c r="A1350" i="1"/>
  <c r="U1954" i="1"/>
  <c r="R1954" i="1"/>
  <c r="Q1954" i="1"/>
  <c r="P1954" i="1"/>
  <c r="O1954" i="1"/>
  <c r="N1954" i="1"/>
  <c r="M1954" i="1"/>
  <c r="K1954" i="1"/>
  <c r="J1954" i="1"/>
  <c r="I1954" i="1"/>
  <c r="H1954" i="1"/>
  <c r="G1954" i="1"/>
  <c r="F1954" i="1"/>
  <c r="D1954" i="1"/>
  <c r="B1954" i="1"/>
  <c r="A1954" i="1"/>
  <c r="U2624" i="1"/>
  <c r="R2624" i="1"/>
  <c r="Q2624" i="1"/>
  <c r="P2624" i="1"/>
  <c r="O2624" i="1"/>
  <c r="N2624" i="1"/>
  <c r="M2624" i="1"/>
  <c r="K2624" i="1"/>
  <c r="J2624" i="1"/>
  <c r="I2624" i="1"/>
  <c r="H2624" i="1"/>
  <c r="F2624" i="1"/>
  <c r="D2624" i="1"/>
  <c r="B2624" i="1"/>
  <c r="A2624" i="1"/>
  <c r="U2678" i="1"/>
  <c r="R2678" i="1"/>
  <c r="Q2678" i="1"/>
  <c r="P2678" i="1"/>
  <c r="O2678" i="1"/>
  <c r="N2678" i="1"/>
  <c r="M2678" i="1"/>
  <c r="K2678" i="1"/>
  <c r="J2678" i="1"/>
  <c r="I2678" i="1"/>
  <c r="H2678" i="1"/>
  <c r="F2678" i="1"/>
  <c r="D2678" i="1"/>
  <c r="B2678" i="1"/>
  <c r="A2678" i="1"/>
  <c r="U2957" i="1"/>
  <c r="R2957" i="1"/>
  <c r="Q2957" i="1"/>
  <c r="P2957" i="1"/>
  <c r="O2957" i="1"/>
  <c r="N2957" i="1"/>
  <c r="M2957" i="1"/>
  <c r="K2957" i="1"/>
  <c r="J2957" i="1"/>
  <c r="I2957" i="1"/>
  <c r="H2957" i="1"/>
  <c r="G2957" i="1"/>
  <c r="F2957" i="1"/>
  <c r="E2957" i="1"/>
  <c r="D2957" i="1"/>
  <c r="B2957" i="1"/>
  <c r="A2957" i="1"/>
  <c r="U32" i="1"/>
  <c r="R32" i="1"/>
  <c r="Q32" i="1"/>
  <c r="P32" i="1"/>
  <c r="O32" i="1"/>
  <c r="N32" i="1"/>
  <c r="M32" i="1"/>
  <c r="J32" i="1"/>
  <c r="I32" i="1"/>
  <c r="H32" i="1"/>
  <c r="F32" i="1"/>
  <c r="E32" i="1"/>
  <c r="D32" i="1"/>
  <c r="B32" i="1"/>
  <c r="A32" i="1"/>
  <c r="U63" i="1"/>
  <c r="R63" i="1"/>
  <c r="Q63" i="1"/>
  <c r="P63" i="1"/>
  <c r="O63" i="1"/>
  <c r="N63" i="1"/>
  <c r="M63" i="1"/>
  <c r="J63" i="1"/>
  <c r="I63" i="1"/>
  <c r="H63" i="1"/>
  <c r="F63" i="1"/>
  <c r="D63" i="1"/>
  <c r="B63" i="1"/>
  <c r="A63" i="1"/>
  <c r="U75" i="1"/>
  <c r="R75" i="1"/>
  <c r="Q75" i="1"/>
  <c r="P75" i="1"/>
  <c r="O75" i="1"/>
  <c r="N75" i="1"/>
  <c r="M75" i="1"/>
  <c r="J75" i="1"/>
  <c r="I75" i="1"/>
  <c r="H75" i="1"/>
  <c r="F75" i="1"/>
  <c r="E75" i="1"/>
  <c r="D75" i="1"/>
  <c r="B75" i="1"/>
  <c r="A75" i="1"/>
  <c r="U193" i="1"/>
  <c r="R193" i="1"/>
  <c r="Q193" i="1"/>
  <c r="P193" i="1"/>
  <c r="O193" i="1"/>
  <c r="N193" i="1"/>
  <c r="M193" i="1"/>
  <c r="J193" i="1"/>
  <c r="I193" i="1"/>
  <c r="H193" i="1"/>
  <c r="F193" i="1"/>
  <c r="D193" i="1"/>
  <c r="B193" i="1"/>
  <c r="A193" i="1"/>
  <c r="U185" i="1"/>
  <c r="R185" i="1"/>
  <c r="Q185" i="1"/>
  <c r="P185" i="1"/>
  <c r="O185" i="1"/>
  <c r="N185" i="1"/>
  <c r="M185" i="1"/>
  <c r="J185" i="1"/>
  <c r="I185" i="1"/>
  <c r="H185" i="1"/>
  <c r="F185" i="1"/>
  <c r="E185" i="1"/>
  <c r="D185" i="1"/>
  <c r="B185" i="1"/>
  <c r="A185" i="1"/>
  <c r="U77" i="1"/>
  <c r="R77" i="1"/>
  <c r="Q77" i="1"/>
  <c r="P77" i="1"/>
  <c r="O77" i="1"/>
  <c r="N77" i="1"/>
  <c r="M77" i="1"/>
  <c r="J77" i="1"/>
  <c r="I77" i="1"/>
  <c r="H77" i="1"/>
  <c r="G77" i="1"/>
  <c r="F77" i="1"/>
  <c r="D77" i="1"/>
  <c r="B77" i="1"/>
  <c r="A77" i="1"/>
  <c r="U332" i="1"/>
  <c r="R332" i="1"/>
  <c r="Q332" i="1"/>
  <c r="P332" i="1"/>
  <c r="O332" i="1"/>
  <c r="N332" i="1"/>
  <c r="M332" i="1"/>
  <c r="J332" i="1"/>
  <c r="I332" i="1"/>
  <c r="H332" i="1"/>
  <c r="F332" i="1"/>
  <c r="D332" i="1"/>
  <c r="B332" i="1"/>
  <c r="A332" i="1"/>
  <c r="U62" i="1"/>
  <c r="R62" i="1"/>
  <c r="Q62" i="1"/>
  <c r="P62" i="1"/>
  <c r="O62" i="1"/>
  <c r="N62" i="1"/>
  <c r="M62" i="1"/>
  <c r="J62" i="1"/>
  <c r="I62" i="1"/>
  <c r="H62" i="1"/>
  <c r="F62" i="1"/>
  <c r="E62" i="1"/>
  <c r="D62" i="1"/>
  <c r="B62" i="1"/>
  <c r="A62" i="1"/>
  <c r="U94" i="1"/>
  <c r="R94" i="1"/>
  <c r="Q94" i="1"/>
  <c r="P94" i="1"/>
  <c r="O94" i="1"/>
  <c r="N94" i="1"/>
  <c r="M94" i="1"/>
  <c r="J94" i="1"/>
  <c r="I94" i="1"/>
  <c r="H94" i="1"/>
  <c r="F94" i="1"/>
  <c r="E94" i="1"/>
  <c r="D94" i="1"/>
  <c r="B94" i="1"/>
  <c r="A94" i="1"/>
  <c r="U191" i="1"/>
  <c r="R191" i="1"/>
  <c r="Q191" i="1"/>
  <c r="P191" i="1"/>
  <c r="O191" i="1"/>
  <c r="N191" i="1"/>
  <c r="M191" i="1"/>
  <c r="J191" i="1"/>
  <c r="I191" i="1"/>
  <c r="H191" i="1"/>
  <c r="F191" i="1"/>
  <c r="E191" i="1"/>
  <c r="D191" i="1"/>
  <c r="B191" i="1"/>
  <c r="A191" i="1"/>
  <c r="U445" i="1"/>
  <c r="R445" i="1"/>
  <c r="Q445" i="1"/>
  <c r="P445" i="1"/>
  <c r="O445" i="1"/>
  <c r="N445" i="1"/>
  <c r="M445" i="1"/>
  <c r="J445" i="1"/>
  <c r="I445" i="1"/>
  <c r="H445" i="1"/>
  <c r="F445" i="1"/>
  <c r="D445" i="1"/>
  <c r="B445" i="1"/>
  <c r="A445" i="1"/>
  <c r="U451" i="1"/>
  <c r="R451" i="1"/>
  <c r="Q451" i="1"/>
  <c r="P451" i="1"/>
  <c r="O451" i="1"/>
  <c r="N451" i="1"/>
  <c r="M451" i="1"/>
  <c r="J451" i="1"/>
  <c r="I451" i="1"/>
  <c r="H451" i="1"/>
  <c r="F451" i="1"/>
  <c r="D451" i="1"/>
  <c r="B451" i="1"/>
  <c r="A451" i="1"/>
  <c r="U511" i="1"/>
  <c r="R511" i="1"/>
  <c r="Q511" i="1"/>
  <c r="P511" i="1"/>
  <c r="O511" i="1"/>
  <c r="N511" i="1"/>
  <c r="M511" i="1"/>
  <c r="J511" i="1"/>
  <c r="I511" i="1"/>
  <c r="H511" i="1"/>
  <c r="F511" i="1"/>
  <c r="D511" i="1"/>
  <c r="B511" i="1"/>
  <c r="A511" i="1"/>
  <c r="U327" i="1"/>
  <c r="R327" i="1"/>
  <c r="Q327" i="1"/>
  <c r="P327" i="1"/>
  <c r="O327" i="1"/>
  <c r="N327" i="1"/>
  <c r="M327" i="1"/>
  <c r="J327" i="1"/>
  <c r="I327" i="1"/>
  <c r="H327" i="1"/>
  <c r="F327" i="1"/>
  <c r="D327" i="1"/>
  <c r="B327" i="1"/>
  <c r="A327" i="1"/>
  <c r="U101" i="1"/>
  <c r="R101" i="1"/>
  <c r="Q101" i="1"/>
  <c r="P101" i="1"/>
  <c r="O101" i="1"/>
  <c r="N101" i="1"/>
  <c r="M101" i="1"/>
  <c r="J101" i="1"/>
  <c r="I101" i="1"/>
  <c r="H101" i="1"/>
  <c r="F101" i="1"/>
  <c r="E101" i="1"/>
  <c r="D101" i="1"/>
  <c r="B101" i="1"/>
  <c r="A101" i="1"/>
  <c r="U510" i="1"/>
  <c r="R510" i="1"/>
  <c r="Q510" i="1"/>
  <c r="P510" i="1"/>
  <c r="O510" i="1"/>
  <c r="N510" i="1"/>
  <c r="M510" i="1"/>
  <c r="I510" i="1"/>
  <c r="H510" i="1"/>
  <c r="F510" i="1"/>
  <c r="D510" i="1"/>
  <c r="B510" i="1"/>
  <c r="A510" i="1"/>
  <c r="U522" i="1"/>
  <c r="R522" i="1"/>
  <c r="Q522" i="1"/>
  <c r="P522" i="1"/>
  <c r="O522" i="1"/>
  <c r="N522" i="1"/>
  <c r="M522" i="1"/>
  <c r="J522" i="1"/>
  <c r="I522" i="1"/>
  <c r="H522" i="1"/>
  <c r="F522" i="1"/>
  <c r="D522" i="1"/>
  <c r="B522" i="1"/>
  <c r="A522" i="1"/>
  <c r="U554" i="1"/>
  <c r="R554" i="1"/>
  <c r="Q554" i="1"/>
  <c r="P554" i="1"/>
  <c r="O554" i="1"/>
  <c r="N554" i="1"/>
  <c r="M554" i="1"/>
  <c r="J554" i="1"/>
  <c r="I554" i="1"/>
  <c r="H554" i="1"/>
  <c r="F554" i="1"/>
  <c r="D554" i="1"/>
  <c r="B554" i="1"/>
  <c r="A554" i="1"/>
  <c r="U531" i="1"/>
  <c r="R531" i="1"/>
  <c r="Q531" i="1"/>
  <c r="P531" i="1"/>
  <c r="O531" i="1"/>
  <c r="N531" i="1"/>
  <c r="M531" i="1"/>
  <c r="J531" i="1"/>
  <c r="I531" i="1"/>
  <c r="H531" i="1"/>
  <c r="F531" i="1"/>
  <c r="D531" i="1"/>
  <c r="B531" i="1"/>
  <c r="A531" i="1"/>
  <c r="U163" i="1"/>
  <c r="R163" i="1"/>
  <c r="Q163" i="1"/>
  <c r="P163" i="1"/>
  <c r="O163" i="1"/>
  <c r="N163" i="1"/>
  <c r="M163" i="1"/>
  <c r="J163" i="1"/>
  <c r="I163" i="1"/>
  <c r="H163" i="1"/>
  <c r="G163" i="1"/>
  <c r="F163" i="1"/>
  <c r="D163" i="1"/>
  <c r="B163" i="1"/>
  <c r="A163" i="1"/>
  <c r="U611" i="1"/>
  <c r="R611" i="1"/>
  <c r="Q611" i="1"/>
  <c r="P611" i="1"/>
  <c r="O611" i="1"/>
  <c r="N611" i="1"/>
  <c r="M611" i="1"/>
  <c r="J611" i="1"/>
  <c r="I611" i="1"/>
  <c r="H611" i="1"/>
  <c r="G611" i="1"/>
  <c r="F611" i="1"/>
  <c r="D611" i="1"/>
  <c r="B611" i="1"/>
  <c r="A611" i="1"/>
  <c r="U664" i="1"/>
  <c r="R664" i="1"/>
  <c r="Q664" i="1"/>
  <c r="P664" i="1"/>
  <c r="O664" i="1"/>
  <c r="N664" i="1"/>
  <c r="M664" i="1"/>
  <c r="J664" i="1"/>
  <c r="I664" i="1"/>
  <c r="H664" i="1"/>
  <c r="F664" i="1"/>
  <c r="D664" i="1"/>
  <c r="B664" i="1"/>
  <c r="A664" i="1"/>
  <c r="U740" i="1"/>
  <c r="R740" i="1"/>
  <c r="Q740" i="1"/>
  <c r="P740" i="1"/>
  <c r="O740" i="1"/>
  <c r="N740" i="1"/>
  <c r="M740" i="1"/>
  <c r="J740" i="1"/>
  <c r="I740" i="1"/>
  <c r="H740" i="1"/>
  <c r="F740" i="1"/>
  <c r="D740" i="1"/>
  <c r="B740" i="1"/>
  <c r="A740" i="1"/>
  <c r="U608" i="1"/>
  <c r="R608" i="1"/>
  <c r="Q608" i="1"/>
  <c r="P608" i="1"/>
  <c r="O608" i="1"/>
  <c r="N608" i="1"/>
  <c r="M608" i="1"/>
  <c r="J608" i="1"/>
  <c r="I608" i="1"/>
  <c r="H608" i="1"/>
  <c r="F608" i="1"/>
  <c r="D608" i="1"/>
  <c r="B608" i="1"/>
  <c r="A608" i="1"/>
  <c r="U731" i="1"/>
  <c r="R731" i="1"/>
  <c r="Q731" i="1"/>
  <c r="P731" i="1"/>
  <c r="O731" i="1"/>
  <c r="N731" i="1"/>
  <c r="M731" i="1"/>
  <c r="J731" i="1"/>
  <c r="I731" i="1"/>
  <c r="H731" i="1"/>
  <c r="F731" i="1"/>
  <c r="D731" i="1"/>
  <c r="B731" i="1"/>
  <c r="A731" i="1"/>
  <c r="U746" i="1"/>
  <c r="R746" i="1"/>
  <c r="Q746" i="1"/>
  <c r="P746" i="1"/>
  <c r="O746" i="1"/>
  <c r="N746" i="1"/>
  <c r="M746" i="1"/>
  <c r="J746" i="1"/>
  <c r="I746" i="1"/>
  <c r="H746" i="1"/>
  <c r="F746" i="1"/>
  <c r="E746" i="1"/>
  <c r="D746" i="1"/>
  <c r="B746" i="1"/>
  <c r="A746" i="1"/>
  <c r="U725" i="1"/>
  <c r="R725" i="1"/>
  <c r="Q725" i="1"/>
  <c r="P725" i="1"/>
  <c r="O725" i="1"/>
  <c r="N725" i="1"/>
  <c r="M725" i="1"/>
  <c r="J725" i="1"/>
  <c r="I725" i="1"/>
  <c r="H725" i="1"/>
  <c r="G725" i="1"/>
  <c r="F725" i="1"/>
  <c r="D725" i="1"/>
  <c r="B725" i="1"/>
  <c r="A725" i="1"/>
  <c r="U724" i="1"/>
  <c r="R724" i="1"/>
  <c r="Q724" i="1"/>
  <c r="P724" i="1"/>
  <c r="O724" i="1"/>
  <c r="N724" i="1"/>
  <c r="M724" i="1"/>
  <c r="J724" i="1"/>
  <c r="I724" i="1"/>
  <c r="H724" i="1"/>
  <c r="F724" i="1"/>
  <c r="D724" i="1"/>
  <c r="B724" i="1"/>
  <c r="A724" i="1"/>
  <c r="U807" i="1"/>
  <c r="R807" i="1"/>
  <c r="Q807" i="1"/>
  <c r="P807" i="1"/>
  <c r="O807" i="1"/>
  <c r="N807" i="1"/>
  <c r="M807" i="1"/>
  <c r="J807" i="1"/>
  <c r="I807" i="1"/>
  <c r="H807" i="1"/>
  <c r="F807" i="1"/>
  <c r="D807" i="1"/>
  <c r="B807" i="1"/>
  <c r="A807" i="1"/>
  <c r="U834" i="1"/>
  <c r="R834" i="1"/>
  <c r="Q834" i="1"/>
  <c r="P834" i="1"/>
  <c r="O834" i="1"/>
  <c r="N834" i="1"/>
  <c r="M834" i="1"/>
  <c r="J834" i="1"/>
  <c r="I834" i="1"/>
  <c r="H834" i="1"/>
  <c r="F834" i="1"/>
  <c r="D834" i="1"/>
  <c r="B834" i="1"/>
  <c r="A834" i="1"/>
  <c r="U489" i="1"/>
  <c r="R489" i="1"/>
  <c r="Q489" i="1"/>
  <c r="P489" i="1"/>
  <c r="O489" i="1"/>
  <c r="N489" i="1"/>
  <c r="M489" i="1"/>
  <c r="I489" i="1"/>
  <c r="H489" i="1"/>
  <c r="F489" i="1"/>
  <c r="D489" i="1"/>
  <c r="A489" i="1"/>
  <c r="U758" i="1"/>
  <c r="R758" i="1"/>
  <c r="Q758" i="1"/>
  <c r="P758" i="1"/>
  <c r="O758" i="1"/>
  <c r="N758" i="1"/>
  <c r="M758" i="1"/>
  <c r="J758" i="1"/>
  <c r="I758" i="1"/>
  <c r="H758" i="1"/>
  <c r="F758" i="1"/>
  <c r="D758" i="1"/>
  <c r="B758" i="1"/>
  <c r="A758" i="1"/>
  <c r="U357" i="1"/>
  <c r="R357" i="1"/>
  <c r="Q357" i="1"/>
  <c r="P357" i="1"/>
  <c r="O357" i="1"/>
  <c r="N357" i="1"/>
  <c r="M357" i="1"/>
  <c r="J357" i="1"/>
  <c r="I357" i="1"/>
  <c r="H357" i="1"/>
  <c r="F357" i="1"/>
  <c r="D357" i="1"/>
  <c r="B357" i="1"/>
  <c r="A357" i="1"/>
  <c r="U888" i="1"/>
  <c r="R888" i="1"/>
  <c r="Q888" i="1"/>
  <c r="P888" i="1"/>
  <c r="O888" i="1"/>
  <c r="N888" i="1"/>
  <c r="M888" i="1"/>
  <c r="J888" i="1"/>
  <c r="I888" i="1"/>
  <c r="H888" i="1"/>
  <c r="F888" i="1"/>
  <c r="D888" i="1"/>
  <c r="B888" i="1"/>
  <c r="A888" i="1"/>
  <c r="U878" i="1"/>
  <c r="R878" i="1"/>
  <c r="Q878" i="1"/>
  <c r="P878" i="1"/>
  <c r="O878" i="1"/>
  <c r="N878" i="1"/>
  <c r="M878" i="1"/>
  <c r="J878" i="1"/>
  <c r="I878" i="1"/>
  <c r="H878" i="1"/>
  <c r="F878" i="1"/>
  <c r="D878" i="1"/>
  <c r="B878" i="1"/>
  <c r="A878" i="1"/>
  <c r="U923" i="1"/>
  <c r="R923" i="1"/>
  <c r="Q923" i="1"/>
  <c r="P923" i="1"/>
  <c r="O923" i="1"/>
  <c r="N923" i="1"/>
  <c r="M923" i="1"/>
  <c r="J923" i="1"/>
  <c r="I923" i="1"/>
  <c r="H923" i="1"/>
  <c r="F923" i="1"/>
  <c r="D923" i="1"/>
  <c r="B923" i="1"/>
  <c r="A923" i="1"/>
  <c r="U598" i="1"/>
  <c r="R598" i="1"/>
  <c r="Q598" i="1"/>
  <c r="P598" i="1"/>
  <c r="O598" i="1"/>
  <c r="N598" i="1"/>
  <c r="M598" i="1"/>
  <c r="J598" i="1"/>
  <c r="I598" i="1"/>
  <c r="H598" i="1"/>
  <c r="F598" i="1"/>
  <c r="D598" i="1"/>
  <c r="B598" i="1"/>
  <c r="A598" i="1"/>
  <c r="U873" i="1"/>
  <c r="R873" i="1"/>
  <c r="Q873" i="1"/>
  <c r="P873" i="1"/>
  <c r="O873" i="1"/>
  <c r="N873" i="1"/>
  <c r="M873" i="1"/>
  <c r="I873" i="1"/>
  <c r="H873" i="1"/>
  <c r="F873" i="1"/>
  <c r="D873" i="1"/>
  <c r="B873" i="1"/>
  <c r="A873" i="1"/>
  <c r="U1018" i="1"/>
  <c r="R1018" i="1"/>
  <c r="Q1018" i="1"/>
  <c r="P1018" i="1"/>
  <c r="O1018" i="1"/>
  <c r="N1018" i="1"/>
  <c r="M1018" i="1"/>
  <c r="J1018" i="1"/>
  <c r="I1018" i="1"/>
  <c r="H1018" i="1"/>
  <c r="F1018" i="1"/>
  <c r="E1018" i="1"/>
  <c r="D1018" i="1"/>
  <c r="B1018" i="1"/>
  <c r="A1018" i="1"/>
  <c r="U833" i="1"/>
  <c r="R833" i="1"/>
  <c r="Q833" i="1"/>
  <c r="P833" i="1"/>
  <c r="O833" i="1"/>
  <c r="N833" i="1"/>
  <c r="M833" i="1"/>
  <c r="J833" i="1"/>
  <c r="I833" i="1"/>
  <c r="H833" i="1"/>
  <c r="F833" i="1"/>
  <c r="D833" i="1"/>
  <c r="B833" i="1"/>
  <c r="A833" i="1"/>
  <c r="U1017" i="1"/>
  <c r="R1017" i="1"/>
  <c r="Q1017" i="1"/>
  <c r="P1017" i="1"/>
  <c r="O1017" i="1"/>
  <c r="N1017" i="1"/>
  <c r="M1017" i="1"/>
  <c r="I1017" i="1"/>
  <c r="H1017" i="1"/>
  <c r="F1017" i="1"/>
  <c r="D1017" i="1"/>
  <c r="B1017" i="1"/>
  <c r="A1017" i="1"/>
  <c r="U917" i="1"/>
  <c r="R917" i="1"/>
  <c r="Q917" i="1"/>
  <c r="P917" i="1"/>
  <c r="O917" i="1"/>
  <c r="N917" i="1"/>
  <c r="M917" i="1"/>
  <c r="J917" i="1"/>
  <c r="I917" i="1"/>
  <c r="H917" i="1"/>
  <c r="F917" i="1"/>
  <c r="D917" i="1"/>
  <c r="B917" i="1"/>
  <c r="A917" i="1"/>
  <c r="U1051" i="1"/>
  <c r="R1051" i="1"/>
  <c r="Q1051" i="1"/>
  <c r="P1051" i="1"/>
  <c r="O1051" i="1"/>
  <c r="N1051" i="1"/>
  <c r="M1051" i="1"/>
  <c r="I1051" i="1"/>
  <c r="H1051" i="1"/>
  <c r="G1051" i="1"/>
  <c r="F1051" i="1"/>
  <c r="D1051" i="1"/>
  <c r="B1051" i="1"/>
  <c r="A1051" i="1"/>
  <c r="U945" i="1"/>
  <c r="R945" i="1"/>
  <c r="Q945" i="1"/>
  <c r="P945" i="1"/>
  <c r="O945" i="1"/>
  <c r="N945" i="1"/>
  <c r="M945" i="1"/>
  <c r="I945" i="1"/>
  <c r="H945" i="1"/>
  <c r="F945" i="1"/>
  <c r="D945" i="1"/>
  <c r="B945" i="1"/>
  <c r="A945" i="1"/>
  <c r="U1098" i="1"/>
  <c r="R1098" i="1"/>
  <c r="Q1098" i="1"/>
  <c r="P1098" i="1"/>
  <c r="O1098" i="1"/>
  <c r="N1098" i="1"/>
  <c r="M1098" i="1"/>
  <c r="J1098" i="1"/>
  <c r="I1098" i="1"/>
  <c r="H1098" i="1"/>
  <c r="F1098" i="1"/>
  <c r="D1098" i="1"/>
  <c r="B1098" i="1"/>
  <c r="A1098" i="1"/>
  <c r="U848" i="1"/>
  <c r="R848" i="1"/>
  <c r="Q848" i="1"/>
  <c r="P848" i="1"/>
  <c r="O848" i="1"/>
  <c r="N848" i="1"/>
  <c r="M848" i="1"/>
  <c r="J848" i="1"/>
  <c r="I848" i="1"/>
  <c r="H848" i="1"/>
  <c r="F848" i="1"/>
  <c r="D848" i="1"/>
  <c r="B848" i="1"/>
  <c r="A848" i="1"/>
  <c r="U872" i="1"/>
  <c r="R872" i="1"/>
  <c r="Q872" i="1"/>
  <c r="P872" i="1"/>
  <c r="O872" i="1"/>
  <c r="N872" i="1"/>
  <c r="M872" i="1"/>
  <c r="I872" i="1"/>
  <c r="H872" i="1"/>
  <c r="F872" i="1"/>
  <c r="E872" i="1"/>
  <c r="D872" i="1"/>
  <c r="A872" i="1"/>
  <c r="U1125" i="1"/>
  <c r="R1125" i="1"/>
  <c r="Q1125" i="1"/>
  <c r="P1125" i="1"/>
  <c r="O1125" i="1"/>
  <c r="N1125" i="1"/>
  <c r="M1125" i="1"/>
  <c r="J1125" i="1"/>
  <c r="I1125" i="1"/>
  <c r="H1125" i="1"/>
  <c r="F1125" i="1"/>
  <c r="D1125" i="1"/>
  <c r="B1125" i="1"/>
  <c r="A1125" i="1"/>
  <c r="U1063" i="1"/>
  <c r="R1063" i="1"/>
  <c r="Q1063" i="1"/>
  <c r="P1063" i="1"/>
  <c r="O1063" i="1"/>
  <c r="N1063" i="1"/>
  <c r="M1063" i="1"/>
  <c r="I1063" i="1"/>
  <c r="H1063" i="1"/>
  <c r="F1063" i="1"/>
  <c r="E1063" i="1"/>
  <c r="D1063" i="1"/>
  <c r="B1063" i="1"/>
  <c r="A1063" i="1"/>
  <c r="U1112" i="1"/>
  <c r="R1112" i="1"/>
  <c r="Q1112" i="1"/>
  <c r="P1112" i="1"/>
  <c r="O1112" i="1"/>
  <c r="N1112" i="1"/>
  <c r="M1112" i="1"/>
  <c r="I1112" i="1"/>
  <c r="H1112" i="1"/>
  <c r="F1112" i="1"/>
  <c r="D1112" i="1"/>
  <c r="B1112" i="1"/>
  <c r="A1112" i="1"/>
  <c r="U1223" i="1"/>
  <c r="R1223" i="1"/>
  <c r="Q1223" i="1"/>
  <c r="P1223" i="1"/>
  <c r="O1223" i="1"/>
  <c r="N1223" i="1"/>
  <c r="M1223" i="1"/>
  <c r="I1223" i="1"/>
  <c r="H1223" i="1"/>
  <c r="F1223" i="1"/>
  <c r="D1223" i="1"/>
  <c r="B1223" i="1"/>
  <c r="A1223" i="1"/>
  <c r="U1162" i="1"/>
  <c r="R1162" i="1"/>
  <c r="Q1162" i="1"/>
  <c r="P1162" i="1"/>
  <c r="O1162" i="1"/>
  <c r="N1162" i="1"/>
  <c r="M1162" i="1"/>
  <c r="I1162" i="1"/>
  <c r="H1162" i="1"/>
  <c r="F1162" i="1"/>
  <c r="D1162" i="1"/>
  <c r="B1162" i="1"/>
  <c r="A1162" i="1"/>
  <c r="U1187" i="1"/>
  <c r="R1187" i="1"/>
  <c r="Q1187" i="1"/>
  <c r="P1187" i="1"/>
  <c r="O1187" i="1"/>
  <c r="N1187" i="1"/>
  <c r="M1187" i="1"/>
  <c r="I1187" i="1"/>
  <c r="H1187" i="1"/>
  <c r="F1187" i="1"/>
  <c r="E1187" i="1"/>
  <c r="D1187" i="1"/>
  <c r="B1187" i="1"/>
  <c r="A1187" i="1"/>
  <c r="U1231" i="1"/>
  <c r="R1231" i="1"/>
  <c r="Q1231" i="1"/>
  <c r="P1231" i="1"/>
  <c r="O1231" i="1"/>
  <c r="N1231" i="1"/>
  <c r="M1231" i="1"/>
  <c r="J1231" i="1"/>
  <c r="I1231" i="1"/>
  <c r="H1231" i="1"/>
  <c r="F1231" i="1"/>
  <c r="D1231" i="1"/>
  <c r="B1231" i="1"/>
  <c r="A1231" i="1"/>
  <c r="U1122" i="1"/>
  <c r="R1122" i="1"/>
  <c r="Q1122" i="1"/>
  <c r="P1122" i="1"/>
  <c r="O1122" i="1"/>
  <c r="N1122" i="1"/>
  <c r="M1122" i="1"/>
  <c r="I1122" i="1"/>
  <c r="H1122" i="1"/>
  <c r="F1122" i="1"/>
  <c r="D1122" i="1"/>
  <c r="A1122" i="1"/>
  <c r="U1291" i="1"/>
  <c r="R1291" i="1"/>
  <c r="Q1291" i="1"/>
  <c r="P1291" i="1"/>
  <c r="O1291" i="1"/>
  <c r="N1291" i="1"/>
  <c r="M1291" i="1"/>
  <c r="I1291" i="1"/>
  <c r="H1291" i="1"/>
  <c r="F1291" i="1"/>
  <c r="D1291" i="1"/>
  <c r="B1291" i="1"/>
  <c r="A1291" i="1"/>
  <c r="U1204" i="1"/>
  <c r="R1204" i="1"/>
  <c r="Q1204" i="1"/>
  <c r="P1204" i="1"/>
  <c r="O1204" i="1"/>
  <c r="N1204" i="1"/>
  <c r="M1204" i="1"/>
  <c r="J1204" i="1"/>
  <c r="I1204" i="1"/>
  <c r="H1204" i="1"/>
  <c r="F1204" i="1"/>
  <c r="D1204" i="1"/>
  <c r="B1204" i="1"/>
  <c r="A1204" i="1"/>
  <c r="U1304" i="1"/>
  <c r="R1304" i="1"/>
  <c r="Q1304" i="1"/>
  <c r="P1304" i="1"/>
  <c r="O1304" i="1"/>
  <c r="N1304" i="1"/>
  <c r="M1304" i="1"/>
  <c r="I1304" i="1"/>
  <c r="H1304" i="1"/>
  <c r="F1304" i="1"/>
  <c r="E1304" i="1"/>
  <c r="D1304" i="1"/>
  <c r="B1304" i="1"/>
  <c r="A1304" i="1"/>
  <c r="U1209" i="1"/>
  <c r="R1209" i="1"/>
  <c r="Q1209" i="1"/>
  <c r="P1209" i="1"/>
  <c r="O1209" i="1"/>
  <c r="N1209" i="1"/>
  <c r="M1209" i="1"/>
  <c r="I1209" i="1"/>
  <c r="H1209" i="1"/>
  <c r="F1209" i="1"/>
  <c r="D1209" i="1"/>
  <c r="B1209" i="1"/>
  <c r="A1209" i="1"/>
  <c r="U1359" i="1"/>
  <c r="R1359" i="1"/>
  <c r="Q1359" i="1"/>
  <c r="P1359" i="1"/>
  <c r="O1359" i="1"/>
  <c r="N1359" i="1"/>
  <c r="M1359" i="1"/>
  <c r="I1359" i="1"/>
  <c r="H1359" i="1"/>
  <c r="F1359" i="1"/>
  <c r="D1359" i="1"/>
  <c r="B1359" i="1"/>
  <c r="A1359" i="1"/>
  <c r="U1409" i="1"/>
  <c r="R1409" i="1"/>
  <c r="Q1409" i="1"/>
  <c r="P1409" i="1"/>
  <c r="O1409" i="1"/>
  <c r="N1409" i="1"/>
  <c r="M1409" i="1"/>
  <c r="I1409" i="1"/>
  <c r="H1409" i="1"/>
  <c r="F1409" i="1"/>
  <c r="D1409" i="1"/>
  <c r="B1409" i="1"/>
  <c r="A1409" i="1"/>
  <c r="U1465" i="1"/>
  <c r="R1465" i="1"/>
  <c r="Q1465" i="1"/>
  <c r="P1465" i="1"/>
  <c r="O1465" i="1"/>
  <c r="N1465" i="1"/>
  <c r="M1465" i="1"/>
  <c r="I1465" i="1"/>
  <c r="H1465" i="1"/>
  <c r="F1465" i="1"/>
  <c r="D1465" i="1"/>
  <c r="B1465" i="1"/>
  <c r="A1465" i="1"/>
  <c r="U1470" i="1"/>
  <c r="R1470" i="1"/>
  <c r="Q1470" i="1"/>
  <c r="P1470" i="1"/>
  <c r="O1470" i="1"/>
  <c r="N1470" i="1"/>
  <c r="M1470" i="1"/>
  <c r="J1470" i="1"/>
  <c r="I1470" i="1"/>
  <c r="H1470" i="1"/>
  <c r="F1470" i="1"/>
  <c r="D1470" i="1"/>
  <c r="B1470" i="1"/>
  <c r="A1470" i="1"/>
  <c r="U1497" i="1"/>
  <c r="R1497" i="1"/>
  <c r="Q1497" i="1"/>
  <c r="P1497" i="1"/>
  <c r="O1497" i="1"/>
  <c r="N1497" i="1"/>
  <c r="M1497" i="1"/>
  <c r="J1497" i="1"/>
  <c r="I1497" i="1"/>
  <c r="H1497" i="1"/>
  <c r="F1497" i="1"/>
  <c r="D1497" i="1"/>
  <c r="A1497" i="1"/>
  <c r="U1536" i="1"/>
  <c r="R1536" i="1"/>
  <c r="Q1536" i="1"/>
  <c r="P1536" i="1"/>
  <c r="O1536" i="1"/>
  <c r="N1536" i="1"/>
  <c r="M1536" i="1"/>
  <c r="I1536" i="1"/>
  <c r="H1536" i="1"/>
  <c r="F1536" i="1"/>
  <c r="D1536" i="1"/>
  <c r="A1536" i="1"/>
  <c r="U1561" i="1"/>
  <c r="R1561" i="1"/>
  <c r="Q1561" i="1"/>
  <c r="P1561" i="1"/>
  <c r="O1561" i="1"/>
  <c r="N1561" i="1"/>
  <c r="M1561" i="1"/>
  <c r="K1561" i="1"/>
  <c r="J1561" i="1"/>
  <c r="I1561" i="1"/>
  <c r="H1561" i="1"/>
  <c r="F1561" i="1"/>
  <c r="D1561" i="1"/>
  <c r="B1561" i="1"/>
  <c r="A1561" i="1"/>
  <c r="U1565" i="1"/>
  <c r="R1565" i="1"/>
  <c r="Q1565" i="1"/>
  <c r="P1565" i="1"/>
  <c r="O1565" i="1"/>
  <c r="N1565" i="1"/>
  <c r="M1565" i="1"/>
  <c r="J1565" i="1"/>
  <c r="I1565" i="1"/>
  <c r="H1565" i="1"/>
  <c r="F1565" i="1"/>
  <c r="D1565" i="1"/>
  <c r="A1565" i="1"/>
  <c r="U1585" i="1"/>
  <c r="R1585" i="1"/>
  <c r="Q1585" i="1"/>
  <c r="P1585" i="1"/>
  <c r="O1585" i="1"/>
  <c r="N1585" i="1"/>
  <c r="M1585" i="1"/>
  <c r="I1585" i="1"/>
  <c r="H1585" i="1"/>
  <c r="F1585" i="1"/>
  <c r="D1585" i="1"/>
  <c r="A1585" i="1"/>
  <c r="U1593" i="1"/>
  <c r="R1593" i="1"/>
  <c r="Q1593" i="1"/>
  <c r="P1593" i="1"/>
  <c r="O1593" i="1"/>
  <c r="N1593" i="1"/>
  <c r="M1593" i="1"/>
  <c r="J1593" i="1"/>
  <c r="I1593" i="1"/>
  <c r="H1593" i="1"/>
  <c r="F1593" i="1"/>
  <c r="D1593" i="1"/>
  <c r="A1593" i="1"/>
  <c r="U1615" i="1"/>
  <c r="R1615" i="1"/>
  <c r="Q1615" i="1"/>
  <c r="P1615" i="1"/>
  <c r="O1615" i="1"/>
  <c r="N1615" i="1"/>
  <c r="M1615" i="1"/>
  <c r="I1615" i="1"/>
  <c r="H1615" i="1"/>
  <c r="F1615" i="1"/>
  <c r="D1615" i="1"/>
  <c r="A1615" i="1"/>
  <c r="U1709" i="1"/>
  <c r="R1709" i="1"/>
  <c r="Q1709" i="1"/>
  <c r="P1709" i="1"/>
  <c r="O1709" i="1"/>
  <c r="N1709" i="1"/>
  <c r="M1709" i="1"/>
  <c r="J1709" i="1"/>
  <c r="I1709" i="1"/>
  <c r="H1709" i="1"/>
  <c r="F1709" i="1"/>
  <c r="D1709" i="1"/>
  <c r="A1709" i="1"/>
  <c r="U1758" i="1"/>
  <c r="R1758" i="1"/>
  <c r="Q1758" i="1"/>
  <c r="P1758" i="1"/>
  <c r="O1758" i="1"/>
  <c r="N1758" i="1"/>
  <c r="M1758" i="1"/>
  <c r="K1758" i="1"/>
  <c r="J1758" i="1"/>
  <c r="I1758" i="1"/>
  <c r="H1758" i="1"/>
  <c r="F1758" i="1"/>
  <c r="D1758" i="1"/>
  <c r="B1758" i="1"/>
  <c r="A1758" i="1"/>
  <c r="U1765" i="1"/>
  <c r="R1765" i="1"/>
  <c r="Q1765" i="1"/>
  <c r="P1765" i="1"/>
  <c r="O1765" i="1"/>
  <c r="N1765" i="1"/>
  <c r="M1765" i="1"/>
  <c r="J1765" i="1"/>
  <c r="I1765" i="1"/>
  <c r="H1765" i="1"/>
  <c r="F1765" i="1"/>
  <c r="D1765" i="1"/>
  <c r="B1765" i="1"/>
  <c r="A1765" i="1"/>
  <c r="U1775" i="1"/>
  <c r="R1775" i="1"/>
  <c r="Q1775" i="1"/>
  <c r="P1775" i="1"/>
  <c r="O1775" i="1"/>
  <c r="N1775" i="1"/>
  <c r="M1775" i="1"/>
  <c r="J1775" i="1"/>
  <c r="I1775" i="1"/>
  <c r="H1775" i="1"/>
  <c r="F1775" i="1"/>
  <c r="D1775" i="1"/>
  <c r="A1775" i="1"/>
  <c r="U1783" i="1"/>
  <c r="R1783" i="1"/>
  <c r="Q1783" i="1"/>
  <c r="P1783" i="1"/>
  <c r="O1783" i="1"/>
  <c r="N1783" i="1"/>
  <c r="M1783" i="1"/>
  <c r="J1783" i="1"/>
  <c r="I1783" i="1"/>
  <c r="H1783" i="1"/>
  <c r="F1783" i="1"/>
  <c r="D1783" i="1"/>
  <c r="A1783" i="1"/>
  <c r="U1831" i="1"/>
  <c r="R1831" i="1"/>
  <c r="Q1831" i="1"/>
  <c r="P1831" i="1"/>
  <c r="O1831" i="1"/>
  <c r="N1831" i="1"/>
  <c r="M1831" i="1"/>
  <c r="J1831" i="1"/>
  <c r="I1831" i="1"/>
  <c r="H1831" i="1"/>
  <c r="F1831" i="1"/>
  <c r="D1831" i="1"/>
  <c r="A1831" i="1"/>
  <c r="U2843" i="1"/>
  <c r="R2843" i="1"/>
  <c r="Q2843" i="1"/>
  <c r="P2843" i="1"/>
  <c r="O2843" i="1"/>
  <c r="N2843" i="1"/>
  <c r="M2843" i="1"/>
  <c r="K2843" i="1"/>
  <c r="J2843" i="1"/>
  <c r="I2843" i="1"/>
  <c r="H2843" i="1"/>
  <c r="F2843" i="1"/>
  <c r="D2843" i="1"/>
  <c r="B2843" i="1"/>
  <c r="A2843" i="1"/>
  <c r="U1884" i="1"/>
  <c r="R1884" i="1"/>
  <c r="Q1884" i="1"/>
  <c r="P1884" i="1"/>
  <c r="O1884" i="1"/>
  <c r="N1884" i="1"/>
  <c r="M1884" i="1"/>
  <c r="I1884" i="1"/>
  <c r="H1884" i="1"/>
  <c r="F1884" i="1"/>
  <c r="D1884" i="1"/>
  <c r="B1884" i="1"/>
  <c r="A1884" i="1"/>
  <c r="U1908" i="1"/>
  <c r="R1908" i="1"/>
  <c r="Q1908" i="1"/>
  <c r="P1908" i="1"/>
  <c r="O1908" i="1"/>
  <c r="N1908" i="1"/>
  <c r="M1908" i="1"/>
  <c r="J1908" i="1"/>
  <c r="I1908" i="1"/>
  <c r="H1908" i="1"/>
  <c r="F1908" i="1"/>
  <c r="D1908" i="1"/>
  <c r="B1908" i="1"/>
  <c r="A1908" i="1"/>
  <c r="U3106" i="1"/>
  <c r="R3106" i="1"/>
  <c r="Q3106" i="1"/>
  <c r="P3106" i="1"/>
  <c r="O3106" i="1"/>
  <c r="N3106" i="1"/>
  <c r="M3106" i="1"/>
  <c r="K3106" i="1"/>
  <c r="J3106" i="1"/>
  <c r="I3106" i="1"/>
  <c r="H3106" i="1"/>
  <c r="F3106" i="1"/>
  <c r="D3106" i="1"/>
  <c r="B3106" i="1"/>
  <c r="A3106" i="1"/>
  <c r="U2376" i="1"/>
  <c r="R2376" i="1"/>
  <c r="Q2376" i="1"/>
  <c r="P2376" i="1"/>
  <c r="O2376" i="1"/>
  <c r="N2376" i="1"/>
  <c r="M2376" i="1"/>
  <c r="K2376" i="1"/>
  <c r="J2376" i="1"/>
  <c r="I2376" i="1"/>
  <c r="H2376" i="1"/>
  <c r="F2376" i="1"/>
  <c r="E2376" i="1"/>
  <c r="D2376" i="1"/>
  <c r="A2376" i="1"/>
  <c r="U2374" i="1"/>
  <c r="R2374" i="1"/>
  <c r="Q2374" i="1"/>
  <c r="P2374" i="1"/>
  <c r="O2374" i="1"/>
  <c r="N2374" i="1"/>
  <c r="M2374" i="1"/>
  <c r="K2374" i="1"/>
  <c r="J2374" i="1"/>
  <c r="I2374" i="1"/>
  <c r="H2374" i="1"/>
  <c r="F2374" i="1"/>
  <c r="D2374" i="1"/>
  <c r="B2374" i="1"/>
  <c r="A2374" i="1"/>
  <c r="U2097" i="1"/>
  <c r="R2097" i="1"/>
  <c r="Q2097" i="1"/>
  <c r="P2097" i="1"/>
  <c r="O2097" i="1"/>
  <c r="N2097" i="1"/>
  <c r="M2097" i="1"/>
  <c r="I2097" i="1"/>
  <c r="H2097" i="1"/>
  <c r="G2097" i="1"/>
  <c r="F2097" i="1"/>
  <c r="D2097" i="1"/>
  <c r="B2097" i="1"/>
  <c r="A2097" i="1"/>
  <c r="U1949" i="1"/>
  <c r="R1949" i="1"/>
  <c r="Q1949" i="1"/>
  <c r="P1949" i="1"/>
  <c r="O1949" i="1"/>
  <c r="N1949" i="1"/>
  <c r="M1949" i="1"/>
  <c r="K1949" i="1"/>
  <c r="J1949" i="1"/>
  <c r="I1949" i="1"/>
  <c r="H1949" i="1"/>
  <c r="F1949" i="1"/>
  <c r="D1949" i="1"/>
  <c r="B1949" i="1"/>
  <c r="A1949" i="1"/>
  <c r="U3186" i="1"/>
  <c r="R3186" i="1"/>
  <c r="Q3186" i="1"/>
  <c r="P3186" i="1"/>
  <c r="O3186" i="1"/>
  <c r="N3186" i="1"/>
  <c r="M3186" i="1"/>
  <c r="K3186" i="1"/>
  <c r="J3186" i="1"/>
  <c r="I3186" i="1"/>
  <c r="H3186" i="1"/>
  <c r="F3186" i="1"/>
  <c r="D3186" i="1"/>
  <c r="B3186" i="1"/>
  <c r="A3186" i="1"/>
  <c r="U3068" i="1"/>
  <c r="R3068" i="1"/>
  <c r="Q3068" i="1"/>
  <c r="P3068" i="1"/>
  <c r="O3068" i="1"/>
  <c r="N3068" i="1"/>
  <c r="M3068" i="1"/>
  <c r="K3068" i="1"/>
  <c r="J3068" i="1"/>
  <c r="I3068" i="1"/>
  <c r="H3068" i="1"/>
  <c r="F3068" i="1"/>
  <c r="D3068" i="1"/>
  <c r="B3068" i="1"/>
  <c r="A3068" i="1"/>
  <c r="U2439" i="1"/>
  <c r="R2439" i="1"/>
  <c r="Q2439" i="1"/>
  <c r="P2439" i="1"/>
  <c r="O2439" i="1"/>
  <c r="N2439" i="1"/>
  <c r="M2439" i="1"/>
  <c r="K2439" i="1"/>
  <c r="J2439" i="1"/>
  <c r="I2439" i="1"/>
  <c r="H2439" i="1"/>
  <c r="F2439" i="1"/>
  <c r="E2439" i="1"/>
  <c r="D2439" i="1"/>
  <c r="B2439" i="1"/>
  <c r="A2439" i="1"/>
  <c r="U2547" i="1"/>
  <c r="R2547" i="1"/>
  <c r="Q2547" i="1"/>
  <c r="P2547" i="1"/>
  <c r="O2547" i="1"/>
  <c r="N2547" i="1"/>
  <c r="M2547" i="1"/>
  <c r="K2547" i="1"/>
  <c r="J2547" i="1"/>
  <c r="I2547" i="1"/>
  <c r="H2547" i="1"/>
  <c r="F2547" i="1"/>
  <c r="D2547" i="1"/>
  <c r="B2547" i="1"/>
  <c r="A2547" i="1"/>
  <c r="U3172" i="1"/>
  <c r="R3172" i="1"/>
  <c r="Q3172" i="1"/>
  <c r="P3172" i="1"/>
  <c r="O3172" i="1"/>
  <c r="N3172" i="1"/>
  <c r="M3172" i="1"/>
  <c r="K3172" i="1"/>
  <c r="J3172" i="1"/>
  <c r="I3172" i="1"/>
  <c r="H3172" i="1"/>
  <c r="F3172" i="1"/>
  <c r="D3172" i="1"/>
  <c r="B3172" i="1"/>
  <c r="A3172" i="1"/>
  <c r="U3152" i="1"/>
  <c r="R3152" i="1"/>
  <c r="Q3152" i="1"/>
  <c r="P3152" i="1"/>
  <c r="O3152" i="1"/>
  <c r="N3152" i="1"/>
  <c r="M3152" i="1"/>
  <c r="K3152" i="1"/>
  <c r="J3152" i="1"/>
  <c r="I3152" i="1"/>
  <c r="H3152" i="1"/>
  <c r="F3152" i="1"/>
  <c r="D3152" i="1"/>
  <c r="B3152" i="1"/>
  <c r="A3152" i="1"/>
  <c r="U3195" i="1"/>
  <c r="R3195" i="1"/>
  <c r="Q3195" i="1"/>
  <c r="P3195" i="1"/>
  <c r="O3195" i="1"/>
  <c r="N3195" i="1"/>
  <c r="M3195" i="1"/>
  <c r="K3195" i="1"/>
  <c r="J3195" i="1"/>
  <c r="I3195" i="1"/>
  <c r="H3195" i="1"/>
  <c r="F3195" i="1"/>
  <c r="D3195" i="1"/>
  <c r="B3195" i="1"/>
  <c r="A3195" i="1"/>
  <c r="U2934" i="1"/>
  <c r="R2934" i="1"/>
  <c r="Q2934" i="1"/>
  <c r="P2934" i="1"/>
  <c r="O2934" i="1"/>
  <c r="N2934" i="1"/>
  <c r="M2934" i="1"/>
  <c r="K2934" i="1"/>
  <c r="J2934" i="1"/>
  <c r="I2934" i="1"/>
  <c r="H2934" i="1"/>
  <c r="F2934" i="1"/>
  <c r="E2934" i="1"/>
  <c r="D2934" i="1"/>
  <c r="B2934" i="1"/>
  <c r="A2934" i="1"/>
  <c r="U50" i="1"/>
  <c r="R50" i="1"/>
  <c r="Q50" i="1"/>
  <c r="P50" i="1"/>
  <c r="O50" i="1"/>
  <c r="N50" i="1"/>
  <c r="M50" i="1"/>
  <c r="J50" i="1"/>
  <c r="I50" i="1"/>
  <c r="H50" i="1"/>
  <c r="F50" i="1"/>
  <c r="D50" i="1"/>
  <c r="B50" i="1"/>
  <c r="A50" i="1"/>
  <c r="U56" i="1"/>
  <c r="R56" i="1"/>
  <c r="Q56" i="1"/>
  <c r="P56" i="1"/>
  <c r="O56" i="1"/>
  <c r="N56" i="1"/>
  <c r="M56" i="1"/>
  <c r="J56" i="1"/>
  <c r="I56" i="1"/>
  <c r="H56" i="1"/>
  <c r="F56" i="1"/>
  <c r="D56" i="1"/>
  <c r="B56" i="1"/>
  <c r="A56" i="1"/>
  <c r="U221" i="1"/>
  <c r="R221" i="1"/>
  <c r="Q221" i="1"/>
  <c r="P221" i="1"/>
  <c r="O221" i="1"/>
  <c r="N221" i="1"/>
  <c r="M221" i="1"/>
  <c r="J221" i="1"/>
  <c r="I221" i="1"/>
  <c r="H221" i="1"/>
  <c r="F221" i="1"/>
  <c r="D221" i="1"/>
  <c r="B221" i="1"/>
  <c r="A221" i="1"/>
  <c r="U220" i="1"/>
  <c r="R220" i="1"/>
  <c r="Q220" i="1"/>
  <c r="P220" i="1"/>
  <c r="O220" i="1"/>
  <c r="N220" i="1"/>
  <c r="M220" i="1"/>
  <c r="J220" i="1"/>
  <c r="I220" i="1"/>
  <c r="H220" i="1"/>
  <c r="F220" i="1"/>
  <c r="E220" i="1"/>
  <c r="D220" i="1"/>
  <c r="B220" i="1"/>
  <c r="A220" i="1"/>
  <c r="U290" i="1"/>
  <c r="R290" i="1"/>
  <c r="Q290" i="1"/>
  <c r="P290" i="1"/>
  <c r="O290" i="1"/>
  <c r="N290" i="1"/>
  <c r="M290" i="1"/>
  <c r="J290" i="1"/>
  <c r="I290" i="1"/>
  <c r="H290" i="1"/>
  <c r="F290" i="1"/>
  <c r="D290" i="1"/>
  <c r="B290" i="1"/>
  <c r="A290" i="1"/>
  <c r="U275" i="1"/>
  <c r="R275" i="1"/>
  <c r="Q275" i="1"/>
  <c r="P275" i="1"/>
  <c r="O275" i="1"/>
  <c r="N275" i="1"/>
  <c r="M275" i="1"/>
  <c r="J275" i="1"/>
  <c r="I275" i="1"/>
  <c r="H275" i="1"/>
  <c r="F275" i="1"/>
  <c r="D275" i="1"/>
  <c r="B275" i="1"/>
  <c r="A275" i="1"/>
  <c r="U158" i="1"/>
  <c r="R158" i="1"/>
  <c r="Q158" i="1"/>
  <c r="P158" i="1"/>
  <c r="O158" i="1"/>
  <c r="N158" i="1"/>
  <c r="M158" i="1"/>
  <c r="I158" i="1"/>
  <c r="H158" i="1"/>
  <c r="F158" i="1"/>
  <c r="D158" i="1"/>
  <c r="B158" i="1"/>
  <c r="A158" i="1"/>
  <c r="U95" i="1"/>
  <c r="R95" i="1"/>
  <c r="Q95" i="1"/>
  <c r="P95" i="1"/>
  <c r="O95" i="1"/>
  <c r="N95" i="1"/>
  <c r="M95" i="1"/>
  <c r="J95" i="1"/>
  <c r="I95" i="1"/>
  <c r="H95" i="1"/>
  <c r="F95" i="1"/>
  <c r="D95" i="1"/>
  <c r="B95" i="1"/>
  <c r="A95" i="1"/>
  <c r="U284" i="1"/>
  <c r="R284" i="1"/>
  <c r="Q284" i="1"/>
  <c r="P284" i="1"/>
  <c r="O284" i="1"/>
  <c r="N284" i="1"/>
  <c r="M284" i="1"/>
  <c r="J284" i="1"/>
  <c r="I284" i="1"/>
  <c r="H284" i="1"/>
  <c r="F284" i="1"/>
  <c r="D284" i="1"/>
  <c r="B284" i="1"/>
  <c r="A284" i="1"/>
  <c r="U315" i="1"/>
  <c r="R315" i="1"/>
  <c r="Q315" i="1"/>
  <c r="P315" i="1"/>
  <c r="O315" i="1"/>
  <c r="N315" i="1"/>
  <c r="M315" i="1"/>
  <c r="I315" i="1"/>
  <c r="H315" i="1"/>
  <c r="F315" i="1"/>
  <c r="D315" i="1"/>
  <c r="B315" i="1"/>
  <c r="A315" i="1"/>
  <c r="U388" i="1"/>
  <c r="R388" i="1"/>
  <c r="Q388" i="1"/>
  <c r="P388" i="1"/>
  <c r="O388" i="1"/>
  <c r="N388" i="1"/>
  <c r="M388" i="1"/>
  <c r="J388" i="1"/>
  <c r="I388" i="1"/>
  <c r="H388" i="1"/>
  <c r="F388" i="1"/>
  <c r="D388" i="1"/>
  <c r="B388" i="1"/>
  <c r="A388" i="1"/>
  <c r="U401" i="1"/>
  <c r="R401" i="1"/>
  <c r="Q401" i="1"/>
  <c r="P401" i="1"/>
  <c r="O401" i="1"/>
  <c r="N401" i="1"/>
  <c r="M401" i="1"/>
  <c r="J401" i="1"/>
  <c r="I401" i="1"/>
  <c r="H401" i="1"/>
  <c r="G401" i="1"/>
  <c r="F401" i="1"/>
  <c r="D401" i="1"/>
  <c r="B401" i="1"/>
  <c r="A401" i="1"/>
  <c r="U426" i="1"/>
  <c r="R426" i="1"/>
  <c r="Q426" i="1"/>
  <c r="P426" i="1"/>
  <c r="O426" i="1"/>
  <c r="N426" i="1"/>
  <c r="M426" i="1"/>
  <c r="J426" i="1"/>
  <c r="I426" i="1"/>
  <c r="H426" i="1"/>
  <c r="F426" i="1"/>
  <c r="D426" i="1"/>
  <c r="B426" i="1"/>
  <c r="A426" i="1"/>
  <c r="U92" i="1"/>
  <c r="R92" i="1"/>
  <c r="Q92" i="1"/>
  <c r="P92" i="1"/>
  <c r="O92" i="1"/>
  <c r="N92" i="1"/>
  <c r="M92" i="1"/>
  <c r="I92" i="1"/>
  <c r="H92" i="1"/>
  <c r="F92" i="1"/>
  <c r="D92" i="1"/>
  <c r="B92" i="1"/>
  <c r="A92" i="1"/>
  <c r="U397" i="1"/>
  <c r="R397" i="1"/>
  <c r="Q397" i="1"/>
  <c r="P397" i="1"/>
  <c r="O397" i="1"/>
  <c r="N397" i="1"/>
  <c r="M397" i="1"/>
  <c r="J397" i="1"/>
  <c r="I397" i="1"/>
  <c r="H397" i="1"/>
  <c r="F397" i="1"/>
  <c r="E397" i="1"/>
  <c r="D397" i="1"/>
  <c r="B397" i="1"/>
  <c r="A397" i="1"/>
  <c r="U408" i="1"/>
  <c r="R408" i="1"/>
  <c r="Q408" i="1"/>
  <c r="P408" i="1"/>
  <c r="O408" i="1"/>
  <c r="N408" i="1"/>
  <c r="M408" i="1"/>
  <c r="J408" i="1"/>
  <c r="I408" i="1"/>
  <c r="H408" i="1"/>
  <c r="F408" i="1"/>
  <c r="D408" i="1"/>
  <c r="B408" i="1"/>
  <c r="A408" i="1"/>
  <c r="U25" i="1"/>
  <c r="R25" i="1"/>
  <c r="Q25" i="1"/>
  <c r="P25" i="1"/>
  <c r="O25" i="1"/>
  <c r="N25" i="1"/>
  <c r="M25" i="1"/>
  <c r="J25" i="1"/>
  <c r="I25" i="1"/>
  <c r="H25" i="1"/>
  <c r="F25" i="1"/>
  <c r="D25" i="1"/>
  <c r="B25" i="1"/>
  <c r="A25" i="1"/>
  <c r="U228" i="1"/>
  <c r="R228" i="1"/>
  <c r="Q228" i="1"/>
  <c r="P228" i="1"/>
  <c r="O228" i="1"/>
  <c r="N228" i="1"/>
  <c r="M228" i="1"/>
  <c r="I228" i="1"/>
  <c r="H228" i="1"/>
  <c r="F228" i="1"/>
  <c r="E228" i="1"/>
  <c r="D228" i="1"/>
  <c r="B228" i="1"/>
  <c r="A228" i="1"/>
  <c r="U573" i="1"/>
  <c r="R573" i="1"/>
  <c r="Q573" i="1"/>
  <c r="P573" i="1"/>
  <c r="O573" i="1"/>
  <c r="N573" i="1"/>
  <c r="M573" i="1"/>
  <c r="J573" i="1"/>
  <c r="I573" i="1"/>
  <c r="H573" i="1"/>
  <c r="F573" i="1"/>
  <c r="D573" i="1"/>
  <c r="B573" i="1"/>
  <c r="A573" i="1"/>
  <c r="U572" i="1"/>
  <c r="R572" i="1"/>
  <c r="Q572" i="1"/>
  <c r="P572" i="1"/>
  <c r="O572" i="1"/>
  <c r="N572" i="1"/>
  <c r="M572" i="1"/>
  <c r="J572" i="1"/>
  <c r="I572" i="1"/>
  <c r="H572" i="1"/>
  <c r="F572" i="1"/>
  <c r="E572" i="1"/>
  <c r="D572" i="1"/>
  <c r="B572" i="1"/>
  <c r="A572" i="1"/>
  <c r="U607" i="1"/>
  <c r="R607" i="1"/>
  <c r="Q607" i="1"/>
  <c r="P607" i="1"/>
  <c r="O607" i="1"/>
  <c r="N607" i="1"/>
  <c r="M607" i="1"/>
  <c r="J607" i="1"/>
  <c r="I607" i="1"/>
  <c r="H607" i="1"/>
  <c r="F607" i="1"/>
  <c r="D607" i="1"/>
  <c r="B607" i="1"/>
  <c r="A607" i="1"/>
  <c r="U500" i="1"/>
  <c r="R500" i="1"/>
  <c r="Q500" i="1"/>
  <c r="P500" i="1"/>
  <c r="O500" i="1"/>
  <c r="N500" i="1"/>
  <c r="M500" i="1"/>
  <c r="J500" i="1"/>
  <c r="I500" i="1"/>
  <c r="H500" i="1"/>
  <c r="F500" i="1"/>
  <c r="D500" i="1"/>
  <c r="B500" i="1"/>
  <c r="A500" i="1"/>
  <c r="U393" i="1"/>
  <c r="R393" i="1"/>
  <c r="Q393" i="1"/>
  <c r="P393" i="1"/>
  <c r="O393" i="1"/>
  <c r="N393" i="1"/>
  <c r="M393" i="1"/>
  <c r="J393" i="1"/>
  <c r="I393" i="1"/>
  <c r="H393" i="1"/>
  <c r="F393" i="1"/>
  <c r="D393" i="1"/>
  <c r="B393" i="1"/>
  <c r="A393" i="1"/>
  <c r="U723" i="1"/>
  <c r="R723" i="1"/>
  <c r="Q723" i="1"/>
  <c r="P723" i="1"/>
  <c r="O723" i="1"/>
  <c r="N723" i="1"/>
  <c r="M723" i="1"/>
  <c r="J723" i="1"/>
  <c r="I723" i="1"/>
  <c r="H723" i="1"/>
  <c r="F723" i="1"/>
  <c r="D723" i="1"/>
  <c r="B723" i="1"/>
  <c r="A723" i="1"/>
  <c r="U606" i="1"/>
  <c r="R606" i="1"/>
  <c r="Q606" i="1"/>
  <c r="P606" i="1"/>
  <c r="O606" i="1"/>
  <c r="N606" i="1"/>
  <c r="M606" i="1"/>
  <c r="J606" i="1"/>
  <c r="I606" i="1"/>
  <c r="H606" i="1"/>
  <c r="F606" i="1"/>
  <c r="D606" i="1"/>
  <c r="B606" i="1"/>
  <c r="A606" i="1"/>
  <c r="U663" i="1"/>
  <c r="R663" i="1"/>
  <c r="Q663" i="1"/>
  <c r="P663" i="1"/>
  <c r="O663" i="1"/>
  <c r="N663" i="1"/>
  <c r="M663" i="1"/>
  <c r="J663" i="1"/>
  <c r="I663" i="1"/>
  <c r="H663" i="1"/>
  <c r="F663" i="1"/>
  <c r="D663" i="1"/>
  <c r="B663" i="1"/>
  <c r="A663" i="1"/>
  <c r="U387" i="1"/>
  <c r="R387" i="1"/>
  <c r="Q387" i="1"/>
  <c r="P387" i="1"/>
  <c r="O387" i="1"/>
  <c r="N387" i="1"/>
  <c r="M387" i="1"/>
  <c r="J387" i="1"/>
  <c r="I387" i="1"/>
  <c r="H387" i="1"/>
  <c r="F387" i="1"/>
  <c r="E387" i="1"/>
  <c r="D387" i="1"/>
  <c r="B387" i="1"/>
  <c r="A387" i="1"/>
  <c r="U444" i="1"/>
  <c r="R444" i="1"/>
  <c r="Q444" i="1"/>
  <c r="P444" i="1"/>
  <c r="O444" i="1"/>
  <c r="N444" i="1"/>
  <c r="M444" i="1"/>
  <c r="J444" i="1"/>
  <c r="I444" i="1"/>
  <c r="H444" i="1"/>
  <c r="F444" i="1"/>
  <c r="D444" i="1"/>
  <c r="B444" i="1"/>
  <c r="A444" i="1"/>
  <c r="U771" i="1"/>
  <c r="R771" i="1"/>
  <c r="Q771" i="1"/>
  <c r="P771" i="1"/>
  <c r="O771" i="1"/>
  <c r="N771" i="1"/>
  <c r="M771" i="1"/>
  <c r="J771" i="1"/>
  <c r="I771" i="1"/>
  <c r="H771" i="1"/>
  <c r="F771" i="1"/>
  <c r="D771" i="1"/>
  <c r="B771" i="1"/>
  <c r="A771" i="1"/>
  <c r="U806" i="1"/>
  <c r="R806" i="1"/>
  <c r="Q806" i="1"/>
  <c r="P806" i="1"/>
  <c r="O806" i="1"/>
  <c r="N806" i="1"/>
  <c r="M806" i="1"/>
  <c r="J806" i="1"/>
  <c r="I806" i="1"/>
  <c r="H806" i="1"/>
  <c r="F806" i="1"/>
  <c r="D806" i="1"/>
  <c r="B806" i="1"/>
  <c r="A806" i="1"/>
  <c r="U782" i="1"/>
  <c r="R782" i="1"/>
  <c r="Q782" i="1"/>
  <c r="P782" i="1"/>
  <c r="O782" i="1"/>
  <c r="N782" i="1"/>
  <c r="M782" i="1"/>
  <c r="J782" i="1"/>
  <c r="I782" i="1"/>
  <c r="H782" i="1"/>
  <c r="F782" i="1"/>
  <c r="D782" i="1"/>
  <c r="B782" i="1"/>
  <c r="A782" i="1"/>
  <c r="U499" i="1"/>
  <c r="R499" i="1"/>
  <c r="Q499" i="1"/>
  <c r="P499" i="1"/>
  <c r="O499" i="1"/>
  <c r="N499" i="1"/>
  <c r="M499" i="1"/>
  <c r="J499" i="1"/>
  <c r="I499" i="1"/>
  <c r="H499" i="1"/>
  <c r="F499" i="1"/>
  <c r="E499" i="1"/>
  <c r="D499" i="1"/>
  <c r="B499" i="1"/>
  <c r="A499" i="1"/>
  <c r="U843" i="1"/>
  <c r="R843" i="1"/>
  <c r="Q843" i="1"/>
  <c r="P843" i="1"/>
  <c r="O843" i="1"/>
  <c r="N843" i="1"/>
  <c r="M843" i="1"/>
  <c r="I843" i="1"/>
  <c r="H843" i="1"/>
  <c r="F843" i="1"/>
  <c r="D843" i="1"/>
  <c r="B843" i="1"/>
  <c r="A843" i="1"/>
  <c r="U783" i="1"/>
  <c r="R783" i="1"/>
  <c r="Q783" i="1"/>
  <c r="P783" i="1"/>
  <c r="O783" i="1"/>
  <c r="N783" i="1"/>
  <c r="M783" i="1"/>
  <c r="I783" i="1"/>
  <c r="H783" i="1"/>
  <c r="F783" i="1"/>
  <c r="D783" i="1"/>
  <c r="B783" i="1"/>
  <c r="A783" i="1"/>
  <c r="U592" i="1"/>
  <c r="R592" i="1"/>
  <c r="Q592" i="1"/>
  <c r="P592" i="1"/>
  <c r="O592" i="1"/>
  <c r="N592" i="1"/>
  <c r="M592" i="1"/>
  <c r="J592" i="1"/>
  <c r="I592" i="1"/>
  <c r="H592" i="1"/>
  <c r="F592" i="1"/>
  <c r="D592" i="1"/>
  <c r="B592" i="1"/>
  <c r="A592" i="1"/>
  <c r="U662" i="1"/>
  <c r="R662" i="1"/>
  <c r="Q662" i="1"/>
  <c r="P662" i="1"/>
  <c r="O662" i="1"/>
  <c r="N662" i="1"/>
  <c r="M662" i="1"/>
  <c r="J662" i="1"/>
  <c r="I662" i="1"/>
  <c r="H662" i="1"/>
  <c r="F662" i="1"/>
  <c r="D662" i="1"/>
  <c r="B662" i="1"/>
  <c r="A662" i="1"/>
  <c r="U903" i="1"/>
  <c r="R903" i="1"/>
  <c r="Q903" i="1"/>
  <c r="P903" i="1"/>
  <c r="O903" i="1"/>
  <c r="N903" i="1"/>
  <c r="M903" i="1"/>
  <c r="J903" i="1"/>
  <c r="I903" i="1"/>
  <c r="H903" i="1"/>
  <c r="F903" i="1"/>
  <c r="D903" i="1"/>
  <c r="B903" i="1"/>
  <c r="A903" i="1"/>
  <c r="U912" i="1"/>
  <c r="R912" i="1"/>
  <c r="Q912" i="1"/>
  <c r="P912" i="1"/>
  <c r="O912" i="1"/>
  <c r="N912" i="1"/>
  <c r="M912" i="1"/>
  <c r="J912" i="1"/>
  <c r="I912" i="1"/>
  <c r="H912" i="1"/>
  <c r="F912" i="1"/>
  <c r="D912" i="1"/>
  <c r="B912" i="1"/>
  <c r="A912" i="1"/>
  <c r="U916" i="1"/>
  <c r="R916" i="1"/>
  <c r="Q916" i="1"/>
  <c r="P916" i="1"/>
  <c r="O916" i="1"/>
  <c r="N916" i="1"/>
  <c r="M916" i="1"/>
  <c r="J916" i="1"/>
  <c r="I916" i="1"/>
  <c r="H916" i="1"/>
  <c r="F916" i="1"/>
  <c r="D916" i="1"/>
  <c r="B916" i="1"/>
  <c r="A916" i="1"/>
  <c r="U911" i="1"/>
  <c r="R911" i="1"/>
  <c r="Q911" i="1"/>
  <c r="P911" i="1"/>
  <c r="O911" i="1"/>
  <c r="N911" i="1"/>
  <c r="M911" i="1"/>
  <c r="J911" i="1"/>
  <c r="I911" i="1"/>
  <c r="H911" i="1"/>
  <c r="F911" i="1"/>
  <c r="D911" i="1"/>
  <c r="B911" i="1"/>
  <c r="A911" i="1"/>
  <c r="U906" i="1"/>
  <c r="R906" i="1"/>
  <c r="Q906" i="1"/>
  <c r="P906" i="1"/>
  <c r="O906" i="1"/>
  <c r="N906" i="1"/>
  <c r="M906" i="1"/>
  <c r="J906" i="1"/>
  <c r="I906" i="1"/>
  <c r="H906" i="1"/>
  <c r="F906" i="1"/>
  <c r="D906" i="1"/>
  <c r="B906" i="1"/>
  <c r="A906" i="1"/>
  <c r="U887" i="1"/>
  <c r="R887" i="1"/>
  <c r="Q887" i="1"/>
  <c r="P887" i="1"/>
  <c r="O887" i="1"/>
  <c r="N887" i="1"/>
  <c r="M887" i="1"/>
  <c r="J887" i="1"/>
  <c r="I887" i="1"/>
  <c r="H887" i="1"/>
  <c r="F887" i="1"/>
  <c r="D887" i="1"/>
  <c r="B887" i="1"/>
  <c r="A887" i="1"/>
  <c r="U913" i="1"/>
  <c r="R913" i="1"/>
  <c r="Q913" i="1"/>
  <c r="P913" i="1"/>
  <c r="O913" i="1"/>
  <c r="N913" i="1"/>
  <c r="M913" i="1"/>
  <c r="I913" i="1"/>
  <c r="H913" i="1"/>
  <c r="F913" i="1"/>
  <c r="D913" i="1"/>
  <c r="A913" i="1"/>
  <c r="U973" i="1"/>
  <c r="R973" i="1"/>
  <c r="Q973" i="1"/>
  <c r="P973" i="1"/>
  <c r="O973" i="1"/>
  <c r="N973" i="1"/>
  <c r="M973" i="1"/>
  <c r="J973" i="1"/>
  <c r="I973" i="1"/>
  <c r="H973" i="1"/>
  <c r="F973" i="1"/>
  <c r="D973" i="1"/>
  <c r="B973" i="1"/>
  <c r="A973" i="1"/>
  <c r="U1016" i="1"/>
  <c r="R1016" i="1"/>
  <c r="Q1016" i="1"/>
  <c r="P1016" i="1"/>
  <c r="O1016" i="1"/>
  <c r="N1016" i="1"/>
  <c r="M1016" i="1"/>
  <c r="I1016" i="1"/>
  <c r="H1016" i="1"/>
  <c r="G1016" i="1"/>
  <c r="F1016" i="1"/>
  <c r="D1016" i="1"/>
  <c r="B1016" i="1"/>
  <c r="A1016" i="1"/>
  <c r="U1015" i="1"/>
  <c r="R1015" i="1"/>
  <c r="Q1015" i="1"/>
  <c r="P1015" i="1"/>
  <c r="O1015" i="1"/>
  <c r="N1015" i="1"/>
  <c r="M1015" i="1"/>
  <c r="I1015" i="1"/>
  <c r="H1015" i="1"/>
  <c r="F1015" i="1"/>
  <c r="D1015" i="1"/>
  <c r="B1015" i="1"/>
  <c r="A1015" i="1"/>
  <c r="U1014" i="1"/>
  <c r="R1014" i="1"/>
  <c r="Q1014" i="1"/>
  <c r="P1014" i="1"/>
  <c r="O1014" i="1"/>
  <c r="N1014" i="1"/>
  <c r="M1014" i="1"/>
  <c r="I1014" i="1"/>
  <c r="H1014" i="1"/>
  <c r="F1014" i="1"/>
  <c r="E1014" i="1"/>
  <c r="D1014" i="1"/>
  <c r="B1014" i="1"/>
  <c r="A1014" i="1"/>
  <c r="U1013" i="1"/>
  <c r="R1013" i="1"/>
  <c r="Q1013" i="1"/>
  <c r="P1013" i="1"/>
  <c r="O1013" i="1"/>
  <c r="N1013" i="1"/>
  <c r="M1013" i="1"/>
  <c r="J1013" i="1"/>
  <c r="I1013" i="1"/>
  <c r="H1013" i="1"/>
  <c r="F1013" i="1"/>
  <c r="D1013" i="1"/>
  <c r="B1013" i="1"/>
  <c r="A1013" i="1"/>
  <c r="U1012" i="1"/>
  <c r="R1012" i="1"/>
  <c r="Q1012" i="1"/>
  <c r="P1012" i="1"/>
  <c r="O1012" i="1"/>
  <c r="N1012" i="1"/>
  <c r="M1012" i="1"/>
  <c r="J1012" i="1"/>
  <c r="I1012" i="1"/>
  <c r="H1012" i="1"/>
  <c r="F1012" i="1"/>
  <c r="D1012" i="1"/>
  <c r="B1012" i="1"/>
  <c r="A1012" i="1"/>
  <c r="U1011" i="1"/>
  <c r="R1011" i="1"/>
  <c r="Q1011" i="1"/>
  <c r="P1011" i="1"/>
  <c r="O1011" i="1"/>
  <c r="N1011" i="1"/>
  <c r="M1011" i="1"/>
  <c r="J1011" i="1"/>
  <c r="I1011" i="1"/>
  <c r="H1011" i="1"/>
  <c r="F1011" i="1"/>
  <c r="D1011" i="1"/>
  <c r="B1011" i="1"/>
  <c r="A1011" i="1"/>
  <c r="U1060" i="1"/>
  <c r="R1060" i="1"/>
  <c r="Q1060" i="1"/>
  <c r="P1060" i="1"/>
  <c r="O1060" i="1"/>
  <c r="N1060" i="1"/>
  <c r="M1060" i="1"/>
  <c r="J1060" i="1"/>
  <c r="I1060" i="1"/>
  <c r="H1060" i="1"/>
  <c r="F1060" i="1"/>
  <c r="D1060" i="1"/>
  <c r="B1060" i="1"/>
  <c r="A1060" i="1"/>
  <c r="U1082" i="1"/>
  <c r="R1082" i="1"/>
  <c r="Q1082" i="1"/>
  <c r="P1082" i="1"/>
  <c r="O1082" i="1"/>
  <c r="N1082" i="1"/>
  <c r="M1082" i="1"/>
  <c r="I1082" i="1"/>
  <c r="H1082" i="1"/>
  <c r="F1082" i="1"/>
  <c r="D1082" i="1"/>
  <c r="B1082" i="1"/>
  <c r="A1082" i="1"/>
  <c r="U1081" i="1"/>
  <c r="R1081" i="1"/>
  <c r="Q1081" i="1"/>
  <c r="P1081" i="1"/>
  <c r="O1081" i="1"/>
  <c r="N1081" i="1"/>
  <c r="M1081" i="1"/>
  <c r="I1081" i="1"/>
  <c r="H1081" i="1"/>
  <c r="F1081" i="1"/>
  <c r="D1081" i="1"/>
  <c r="A1081" i="1"/>
  <c r="U1080" i="1"/>
  <c r="R1080" i="1"/>
  <c r="Q1080" i="1"/>
  <c r="P1080" i="1"/>
  <c r="O1080" i="1"/>
  <c r="N1080" i="1"/>
  <c r="M1080" i="1"/>
  <c r="I1080" i="1"/>
  <c r="H1080" i="1"/>
  <c r="F1080" i="1"/>
  <c r="D1080" i="1"/>
  <c r="A1080" i="1"/>
  <c r="U1089" i="1"/>
  <c r="R1089" i="1"/>
  <c r="Q1089" i="1"/>
  <c r="P1089" i="1"/>
  <c r="O1089" i="1"/>
  <c r="N1089" i="1"/>
  <c r="M1089" i="1"/>
  <c r="I1089" i="1"/>
  <c r="H1089" i="1"/>
  <c r="F1089" i="1"/>
  <c r="E1089" i="1"/>
  <c r="D1089" i="1"/>
  <c r="B1089" i="1"/>
  <c r="A1089" i="1"/>
  <c r="U1097" i="1"/>
  <c r="R1097" i="1"/>
  <c r="Q1097" i="1"/>
  <c r="P1097" i="1"/>
  <c r="O1097" i="1"/>
  <c r="N1097" i="1"/>
  <c r="M1097" i="1"/>
  <c r="J1097" i="1"/>
  <c r="I1097" i="1"/>
  <c r="H1097" i="1"/>
  <c r="F1097" i="1"/>
  <c r="D1097" i="1"/>
  <c r="A1097" i="1"/>
  <c r="U1065" i="1"/>
  <c r="R1065" i="1"/>
  <c r="Q1065" i="1"/>
  <c r="P1065" i="1"/>
  <c r="O1065" i="1"/>
  <c r="N1065" i="1"/>
  <c r="M1065" i="1"/>
  <c r="I1065" i="1"/>
  <c r="H1065" i="1"/>
  <c r="F1065" i="1"/>
  <c r="D1065" i="1"/>
  <c r="B1065" i="1"/>
  <c r="A1065" i="1"/>
  <c r="U1222" i="1"/>
  <c r="R1222" i="1"/>
  <c r="Q1222" i="1"/>
  <c r="P1222" i="1"/>
  <c r="O1222" i="1"/>
  <c r="N1222" i="1"/>
  <c r="M1222" i="1"/>
  <c r="J1222" i="1"/>
  <c r="I1222" i="1"/>
  <c r="H1222" i="1"/>
  <c r="F1222" i="1"/>
  <c r="D1222" i="1"/>
  <c r="B1222" i="1"/>
  <c r="A1222" i="1"/>
  <c r="U1265" i="1"/>
  <c r="R1265" i="1"/>
  <c r="Q1265" i="1"/>
  <c r="P1265" i="1"/>
  <c r="O1265" i="1"/>
  <c r="N1265" i="1"/>
  <c r="M1265" i="1"/>
  <c r="I1265" i="1"/>
  <c r="H1265" i="1"/>
  <c r="F1265" i="1"/>
  <c r="D1265" i="1"/>
  <c r="B1265" i="1"/>
  <c r="A1265" i="1"/>
  <c r="U1267" i="1"/>
  <c r="R1267" i="1"/>
  <c r="Q1267" i="1"/>
  <c r="P1267" i="1"/>
  <c r="O1267" i="1"/>
  <c r="N1267" i="1"/>
  <c r="M1267" i="1"/>
  <c r="J1267" i="1"/>
  <c r="I1267" i="1"/>
  <c r="H1267" i="1"/>
  <c r="F1267" i="1"/>
  <c r="D1267" i="1"/>
  <c r="A1267" i="1"/>
  <c r="U1266" i="1"/>
  <c r="R1266" i="1"/>
  <c r="Q1266" i="1"/>
  <c r="P1266" i="1"/>
  <c r="O1266" i="1"/>
  <c r="N1266" i="1"/>
  <c r="M1266" i="1"/>
  <c r="I1266" i="1"/>
  <c r="H1266" i="1"/>
  <c r="G1266" i="1"/>
  <c r="F1266" i="1"/>
  <c r="D1266" i="1"/>
  <c r="B1266" i="1"/>
  <c r="A1266" i="1"/>
  <c r="U944" i="1"/>
  <c r="R944" i="1"/>
  <c r="Q944" i="1"/>
  <c r="P944" i="1"/>
  <c r="O944" i="1"/>
  <c r="N944" i="1"/>
  <c r="M944" i="1"/>
  <c r="I944" i="1"/>
  <c r="H944" i="1"/>
  <c r="F944" i="1"/>
  <c r="D944" i="1"/>
  <c r="B944" i="1"/>
  <c r="A944" i="1"/>
  <c r="U1203" i="1"/>
  <c r="R1203" i="1"/>
  <c r="Q1203" i="1"/>
  <c r="P1203" i="1"/>
  <c r="O1203" i="1"/>
  <c r="N1203" i="1"/>
  <c r="M1203" i="1"/>
  <c r="I1203" i="1"/>
  <c r="H1203" i="1"/>
  <c r="F1203" i="1"/>
  <c r="D1203" i="1"/>
  <c r="B1203" i="1"/>
  <c r="A1203" i="1"/>
  <c r="U1367" i="1"/>
  <c r="R1367" i="1"/>
  <c r="Q1367" i="1"/>
  <c r="P1367" i="1"/>
  <c r="O1367" i="1"/>
  <c r="N1367" i="1"/>
  <c r="M1367" i="1"/>
  <c r="J1367" i="1"/>
  <c r="I1367" i="1"/>
  <c r="H1367" i="1"/>
  <c r="F1367" i="1"/>
  <c r="E1367" i="1"/>
  <c r="D1367" i="1"/>
  <c r="B1367" i="1"/>
  <c r="A1367" i="1"/>
  <c r="U1452" i="1"/>
  <c r="R1452" i="1"/>
  <c r="Q1452" i="1"/>
  <c r="P1452" i="1"/>
  <c r="O1452" i="1"/>
  <c r="N1452" i="1"/>
  <c r="M1452" i="1"/>
  <c r="I1452" i="1"/>
  <c r="H1452" i="1"/>
  <c r="F1452" i="1"/>
  <c r="D1452" i="1"/>
  <c r="B1452" i="1"/>
  <c r="A1452" i="1"/>
  <c r="U1453" i="1"/>
  <c r="R1453" i="1"/>
  <c r="Q1453" i="1"/>
  <c r="P1453" i="1"/>
  <c r="O1453" i="1"/>
  <c r="N1453" i="1"/>
  <c r="M1453" i="1"/>
  <c r="I1453" i="1"/>
  <c r="H1453" i="1"/>
  <c r="F1453" i="1"/>
  <c r="D1453" i="1"/>
  <c r="A1453" i="1"/>
  <c r="U1476" i="1"/>
  <c r="R1476" i="1"/>
  <c r="Q1476" i="1"/>
  <c r="P1476" i="1"/>
  <c r="O1476" i="1"/>
  <c r="N1476" i="1"/>
  <c r="M1476" i="1"/>
  <c r="I1476" i="1"/>
  <c r="H1476" i="1"/>
  <c r="F1476" i="1"/>
  <c r="D1476" i="1"/>
  <c r="B1476" i="1"/>
  <c r="A1476" i="1"/>
  <c r="U1351" i="1"/>
  <c r="R1351" i="1"/>
  <c r="Q1351" i="1"/>
  <c r="P1351" i="1"/>
  <c r="O1351" i="1"/>
  <c r="N1351" i="1"/>
  <c r="M1351" i="1"/>
  <c r="I1351" i="1"/>
  <c r="H1351" i="1"/>
  <c r="F1351" i="1"/>
  <c r="D1351" i="1"/>
  <c r="A1351" i="1"/>
  <c r="U1516" i="1"/>
  <c r="R1516" i="1"/>
  <c r="Q1516" i="1"/>
  <c r="P1516" i="1"/>
  <c r="O1516" i="1"/>
  <c r="N1516" i="1"/>
  <c r="M1516" i="1"/>
  <c r="I1516" i="1"/>
  <c r="H1516" i="1"/>
  <c r="F1516" i="1"/>
  <c r="E1516" i="1"/>
  <c r="D1516" i="1"/>
  <c r="A1516" i="1"/>
  <c r="U1519" i="1"/>
  <c r="R1519" i="1"/>
  <c r="Q1519" i="1"/>
  <c r="P1519" i="1"/>
  <c r="O1519" i="1"/>
  <c r="N1519" i="1"/>
  <c r="M1519" i="1"/>
  <c r="I1519" i="1"/>
  <c r="H1519" i="1"/>
  <c r="F1519" i="1"/>
  <c r="D1519" i="1"/>
  <c r="A1519" i="1"/>
  <c r="U1553" i="1"/>
  <c r="R1553" i="1"/>
  <c r="Q1553" i="1"/>
  <c r="P1553" i="1"/>
  <c r="O1553" i="1"/>
  <c r="N1553" i="1"/>
  <c r="M1553" i="1"/>
  <c r="I1553" i="1"/>
  <c r="H1553" i="1"/>
  <c r="F1553" i="1"/>
  <c r="D1553" i="1"/>
  <c r="A1553" i="1"/>
  <c r="U1555" i="1"/>
  <c r="R1555" i="1"/>
  <c r="Q1555" i="1"/>
  <c r="P1555" i="1"/>
  <c r="O1555" i="1"/>
  <c r="N1555" i="1"/>
  <c r="M1555" i="1"/>
  <c r="I1555" i="1"/>
  <c r="H1555" i="1"/>
  <c r="F1555" i="1"/>
  <c r="E1555" i="1"/>
  <c r="D1555" i="1"/>
  <c r="A1555" i="1"/>
  <c r="U1560" i="1"/>
  <c r="R1560" i="1"/>
  <c r="Q1560" i="1"/>
  <c r="P1560" i="1"/>
  <c r="O1560" i="1"/>
  <c r="N1560" i="1"/>
  <c r="M1560" i="1"/>
  <c r="I1560" i="1"/>
  <c r="H1560" i="1"/>
  <c r="F1560" i="1"/>
  <c r="D1560" i="1"/>
  <c r="B1560" i="1"/>
  <c r="A1560" i="1"/>
  <c r="U1584" i="1"/>
  <c r="R1584" i="1"/>
  <c r="Q1584" i="1"/>
  <c r="P1584" i="1"/>
  <c r="O1584" i="1"/>
  <c r="N1584" i="1"/>
  <c r="M1584" i="1"/>
  <c r="I1584" i="1"/>
  <c r="H1584" i="1"/>
  <c r="F1584" i="1"/>
  <c r="D1584" i="1"/>
  <c r="A1584" i="1"/>
  <c r="U1612" i="1"/>
  <c r="R1612" i="1"/>
  <c r="Q1612" i="1"/>
  <c r="P1612" i="1"/>
  <c r="O1612" i="1"/>
  <c r="N1612" i="1"/>
  <c r="M1612" i="1"/>
  <c r="I1612" i="1"/>
  <c r="H1612" i="1"/>
  <c r="F1612" i="1"/>
  <c r="E1612" i="1"/>
  <c r="D1612" i="1"/>
  <c r="A1612" i="1"/>
  <c r="U1625" i="1"/>
  <c r="R1625" i="1"/>
  <c r="Q1625" i="1"/>
  <c r="P1625" i="1"/>
  <c r="O1625" i="1"/>
  <c r="N1625" i="1"/>
  <c r="M1625" i="1"/>
  <c r="I1625" i="1"/>
  <c r="H1625" i="1"/>
  <c r="F1625" i="1"/>
  <c r="D1625" i="1"/>
  <c r="A1625" i="1"/>
  <c r="U1644" i="1"/>
  <c r="R1644" i="1"/>
  <c r="Q1644" i="1"/>
  <c r="P1644" i="1"/>
  <c r="O1644" i="1"/>
  <c r="N1644" i="1"/>
  <c r="M1644" i="1"/>
  <c r="I1644" i="1"/>
  <c r="H1644" i="1"/>
  <c r="F1644" i="1"/>
  <c r="D1644" i="1"/>
  <c r="B1644" i="1"/>
  <c r="A1644" i="1"/>
  <c r="U1651" i="1"/>
  <c r="R1651" i="1"/>
  <c r="Q1651" i="1"/>
  <c r="P1651" i="1"/>
  <c r="O1651" i="1"/>
  <c r="N1651" i="1"/>
  <c r="M1651" i="1"/>
  <c r="I1651" i="1"/>
  <c r="H1651" i="1"/>
  <c r="F1651" i="1"/>
  <c r="D1651" i="1"/>
  <c r="A1651" i="1"/>
  <c r="U1650" i="1"/>
  <c r="R1650" i="1"/>
  <c r="Q1650" i="1"/>
  <c r="P1650" i="1"/>
  <c r="O1650" i="1"/>
  <c r="N1650" i="1"/>
  <c r="M1650" i="1"/>
  <c r="I1650" i="1"/>
  <c r="H1650" i="1"/>
  <c r="F1650" i="1"/>
  <c r="D1650" i="1"/>
  <c r="A1650" i="1"/>
  <c r="U1669" i="1"/>
  <c r="R1669" i="1"/>
  <c r="Q1669" i="1"/>
  <c r="P1669" i="1"/>
  <c r="O1669" i="1"/>
  <c r="N1669" i="1"/>
  <c r="M1669" i="1"/>
  <c r="I1669" i="1"/>
  <c r="H1669" i="1"/>
  <c r="F1669" i="1"/>
  <c r="D1669" i="1"/>
  <c r="A1669" i="1"/>
  <c r="U1676" i="1"/>
  <c r="R1676" i="1"/>
  <c r="Q1676" i="1"/>
  <c r="P1676" i="1"/>
  <c r="O1676" i="1"/>
  <c r="N1676" i="1"/>
  <c r="M1676" i="1"/>
  <c r="I1676" i="1"/>
  <c r="H1676" i="1"/>
  <c r="F1676" i="1"/>
  <c r="D1676" i="1"/>
  <c r="A1676" i="1"/>
  <c r="U1675" i="1"/>
  <c r="R1675" i="1"/>
  <c r="Q1675" i="1"/>
  <c r="P1675" i="1"/>
  <c r="O1675" i="1"/>
  <c r="N1675" i="1"/>
  <c r="M1675" i="1"/>
  <c r="J1675" i="1"/>
  <c r="I1675" i="1"/>
  <c r="H1675" i="1"/>
  <c r="F1675" i="1"/>
  <c r="D1675" i="1"/>
  <c r="B1675" i="1"/>
  <c r="A1675" i="1"/>
  <c r="U1692" i="1"/>
  <c r="R1692" i="1"/>
  <c r="Q1692" i="1"/>
  <c r="P1692" i="1"/>
  <c r="O1692" i="1"/>
  <c r="N1692" i="1"/>
  <c r="M1692" i="1"/>
  <c r="I1692" i="1"/>
  <c r="H1692" i="1"/>
  <c r="G1692" i="1"/>
  <c r="F1692" i="1"/>
  <c r="D1692" i="1"/>
  <c r="A1692" i="1"/>
  <c r="U1735" i="1"/>
  <c r="R1735" i="1"/>
  <c r="Q1735" i="1"/>
  <c r="P1735" i="1"/>
  <c r="O1735" i="1"/>
  <c r="N1735" i="1"/>
  <c r="M1735" i="1"/>
  <c r="I1735" i="1"/>
  <c r="H1735" i="1"/>
  <c r="F1735" i="1"/>
  <c r="D1735" i="1"/>
  <c r="B1735" i="1"/>
  <c r="A1735" i="1"/>
  <c r="U1734" i="1"/>
  <c r="R1734" i="1"/>
  <c r="Q1734" i="1"/>
  <c r="P1734" i="1"/>
  <c r="O1734" i="1"/>
  <c r="N1734" i="1"/>
  <c r="M1734" i="1"/>
  <c r="I1734" i="1"/>
  <c r="H1734" i="1"/>
  <c r="G1734" i="1"/>
  <c r="F1734" i="1"/>
  <c r="D1734" i="1"/>
  <c r="B1734" i="1"/>
  <c r="A1734" i="1"/>
  <c r="U1741" i="1"/>
  <c r="R1741" i="1"/>
  <c r="Q1741" i="1"/>
  <c r="P1741" i="1"/>
  <c r="O1741" i="1"/>
  <c r="N1741" i="1"/>
  <c r="M1741" i="1"/>
  <c r="I1741" i="1"/>
  <c r="H1741" i="1"/>
  <c r="F1741" i="1"/>
  <c r="D1741" i="1"/>
  <c r="B1741" i="1"/>
  <c r="A1741" i="1"/>
  <c r="U1745" i="1"/>
  <c r="R1745" i="1"/>
  <c r="Q1745" i="1"/>
  <c r="P1745" i="1"/>
  <c r="O1745" i="1"/>
  <c r="N1745" i="1"/>
  <c r="M1745" i="1"/>
  <c r="J1745" i="1"/>
  <c r="I1745" i="1"/>
  <c r="H1745" i="1"/>
  <c r="F1745" i="1"/>
  <c r="D1745" i="1"/>
  <c r="A1745" i="1"/>
  <c r="U1752" i="1"/>
  <c r="R1752" i="1"/>
  <c r="Q1752" i="1"/>
  <c r="P1752" i="1"/>
  <c r="O1752" i="1"/>
  <c r="N1752" i="1"/>
  <c r="M1752" i="1"/>
  <c r="K1752" i="1"/>
  <c r="J1752" i="1"/>
  <c r="I1752" i="1"/>
  <c r="H1752" i="1"/>
  <c r="F1752" i="1"/>
  <c r="D1752" i="1"/>
  <c r="B1752" i="1"/>
  <c r="A1752" i="1"/>
  <c r="U1759" i="1"/>
  <c r="R1759" i="1"/>
  <c r="Q1759" i="1"/>
  <c r="P1759" i="1"/>
  <c r="O1759" i="1"/>
  <c r="N1759" i="1"/>
  <c r="M1759" i="1"/>
  <c r="J1759" i="1"/>
  <c r="I1759" i="1"/>
  <c r="H1759" i="1"/>
  <c r="F1759" i="1"/>
  <c r="D1759" i="1"/>
  <c r="B1759" i="1"/>
  <c r="A1759" i="1"/>
  <c r="U1770" i="1"/>
  <c r="R1770" i="1"/>
  <c r="Q1770" i="1"/>
  <c r="P1770" i="1"/>
  <c r="O1770" i="1"/>
  <c r="N1770" i="1"/>
  <c r="M1770" i="1"/>
  <c r="J1770" i="1"/>
  <c r="I1770" i="1"/>
  <c r="H1770" i="1"/>
  <c r="F1770" i="1"/>
  <c r="D1770" i="1"/>
  <c r="B1770" i="1"/>
  <c r="A1770" i="1"/>
  <c r="U1788" i="1"/>
  <c r="R1788" i="1"/>
  <c r="Q1788" i="1"/>
  <c r="P1788" i="1"/>
  <c r="O1788" i="1"/>
  <c r="N1788" i="1"/>
  <c r="M1788" i="1"/>
  <c r="J1788" i="1"/>
  <c r="I1788" i="1"/>
  <c r="H1788" i="1"/>
  <c r="F1788" i="1"/>
  <c r="D1788" i="1"/>
  <c r="B1788" i="1"/>
  <c r="A1788" i="1"/>
  <c r="U1812" i="1"/>
  <c r="R1812" i="1"/>
  <c r="Q1812" i="1"/>
  <c r="P1812" i="1"/>
  <c r="O1812" i="1"/>
  <c r="N1812" i="1"/>
  <c r="M1812" i="1"/>
  <c r="K1812" i="1"/>
  <c r="J1812" i="1"/>
  <c r="I1812" i="1"/>
  <c r="H1812" i="1"/>
  <c r="F1812" i="1"/>
  <c r="E1812" i="1"/>
  <c r="D1812" i="1"/>
  <c r="B1812" i="1"/>
  <c r="A1812" i="1"/>
  <c r="U1861" i="1"/>
  <c r="R1861" i="1"/>
  <c r="Q1861" i="1"/>
  <c r="P1861" i="1"/>
  <c r="O1861" i="1"/>
  <c r="N1861" i="1"/>
  <c r="M1861" i="1"/>
  <c r="J1861" i="1"/>
  <c r="I1861" i="1"/>
  <c r="H1861" i="1"/>
  <c r="F1861" i="1"/>
  <c r="D1861" i="1"/>
  <c r="A1861" i="1"/>
  <c r="U1864" i="1"/>
  <c r="R1864" i="1"/>
  <c r="Q1864" i="1"/>
  <c r="P1864" i="1"/>
  <c r="O1864" i="1"/>
  <c r="N1864" i="1"/>
  <c r="M1864" i="1"/>
  <c r="K1864" i="1"/>
  <c r="J1864" i="1"/>
  <c r="I1864" i="1"/>
  <c r="H1864" i="1"/>
  <c r="F1864" i="1"/>
  <c r="D1864" i="1"/>
  <c r="B1864" i="1"/>
  <c r="A1864" i="1"/>
  <c r="U1903" i="1"/>
  <c r="R1903" i="1"/>
  <c r="Q1903" i="1"/>
  <c r="P1903" i="1"/>
  <c r="O1903" i="1"/>
  <c r="N1903" i="1"/>
  <c r="M1903" i="1"/>
  <c r="J1903" i="1"/>
  <c r="I1903" i="1"/>
  <c r="H1903" i="1"/>
  <c r="F1903" i="1"/>
  <c r="D1903" i="1"/>
  <c r="A1903" i="1"/>
  <c r="U1985" i="1"/>
  <c r="R1985" i="1"/>
  <c r="Q1985" i="1"/>
  <c r="P1985" i="1"/>
  <c r="O1985" i="1"/>
  <c r="N1985" i="1"/>
  <c r="M1985" i="1"/>
  <c r="J1985" i="1"/>
  <c r="I1985" i="1"/>
  <c r="H1985" i="1"/>
  <c r="F1985" i="1"/>
  <c r="D1985" i="1"/>
  <c r="B1985" i="1"/>
  <c r="A1985" i="1"/>
  <c r="U2011" i="1"/>
  <c r="R2011" i="1"/>
  <c r="Q2011" i="1"/>
  <c r="P2011" i="1"/>
  <c r="O2011" i="1"/>
  <c r="N2011" i="1"/>
  <c r="M2011" i="1"/>
  <c r="J2011" i="1"/>
  <c r="I2011" i="1"/>
  <c r="H2011" i="1"/>
  <c r="F2011" i="1"/>
  <c r="D2011" i="1"/>
  <c r="B2011" i="1"/>
  <c r="A2011" i="1"/>
  <c r="U2038" i="1"/>
  <c r="R2038" i="1"/>
  <c r="Q2038" i="1"/>
  <c r="P2038" i="1"/>
  <c r="O2038" i="1"/>
  <c r="N2038" i="1"/>
  <c r="M2038" i="1"/>
  <c r="J2038" i="1"/>
  <c r="I2038" i="1"/>
  <c r="H2038" i="1"/>
  <c r="F2038" i="1"/>
  <c r="D2038" i="1"/>
  <c r="B2038" i="1"/>
  <c r="A2038" i="1"/>
  <c r="U2336" i="1"/>
  <c r="R2336" i="1"/>
  <c r="Q2336" i="1"/>
  <c r="P2336" i="1"/>
  <c r="O2336" i="1"/>
  <c r="N2336" i="1"/>
  <c r="M2336" i="1"/>
  <c r="K2336" i="1"/>
  <c r="J2336" i="1"/>
  <c r="I2336" i="1"/>
  <c r="H2336" i="1"/>
  <c r="F2336" i="1"/>
  <c r="D2336" i="1"/>
  <c r="B2336" i="1"/>
  <c r="A2336" i="1"/>
  <c r="U2335" i="1"/>
  <c r="R2335" i="1"/>
  <c r="Q2335" i="1"/>
  <c r="P2335" i="1"/>
  <c r="O2335" i="1"/>
  <c r="N2335" i="1"/>
  <c r="M2335" i="1"/>
  <c r="K2335" i="1"/>
  <c r="J2335" i="1"/>
  <c r="I2335" i="1"/>
  <c r="H2335" i="1"/>
  <c r="F2335" i="1"/>
  <c r="D2335" i="1"/>
  <c r="B2335" i="1"/>
  <c r="A2335" i="1"/>
  <c r="U2058" i="1"/>
  <c r="R2058" i="1"/>
  <c r="Q2058" i="1"/>
  <c r="P2058" i="1"/>
  <c r="O2058" i="1"/>
  <c r="N2058" i="1"/>
  <c r="M2058" i="1"/>
  <c r="K2058" i="1"/>
  <c r="J2058" i="1"/>
  <c r="I2058" i="1"/>
  <c r="H2058" i="1"/>
  <c r="F2058" i="1"/>
  <c r="E2058" i="1"/>
  <c r="D2058" i="1"/>
  <c r="B2058" i="1"/>
  <c r="A2058" i="1"/>
  <c r="U2567" i="1"/>
  <c r="R2567" i="1"/>
  <c r="Q2567" i="1"/>
  <c r="P2567" i="1"/>
  <c r="O2567" i="1"/>
  <c r="N2567" i="1"/>
  <c r="M2567" i="1"/>
  <c r="K2567" i="1"/>
  <c r="J2567" i="1"/>
  <c r="I2567" i="1"/>
  <c r="H2567" i="1"/>
  <c r="G2567" i="1"/>
  <c r="F2567" i="1"/>
  <c r="E2567" i="1"/>
  <c r="D2567" i="1"/>
  <c r="B2567" i="1"/>
  <c r="A2567" i="1"/>
  <c r="U3105" i="1"/>
  <c r="R3105" i="1"/>
  <c r="Q3105" i="1"/>
  <c r="P3105" i="1"/>
  <c r="O3105" i="1"/>
  <c r="N3105" i="1"/>
  <c r="M3105" i="1"/>
  <c r="K3105" i="1"/>
  <c r="J3105" i="1"/>
  <c r="I3105" i="1"/>
  <c r="H3105" i="1"/>
  <c r="F3105" i="1"/>
  <c r="D3105" i="1"/>
  <c r="B3105" i="1"/>
  <c r="A3105" i="1"/>
  <c r="U3200" i="1"/>
  <c r="R3200" i="1"/>
  <c r="Q3200" i="1"/>
  <c r="P3200" i="1"/>
  <c r="O3200" i="1"/>
  <c r="N3200" i="1"/>
  <c r="M3200" i="1"/>
  <c r="K3200" i="1"/>
  <c r="J3200" i="1"/>
  <c r="I3200" i="1"/>
  <c r="H3200" i="1"/>
  <c r="F3200" i="1"/>
  <c r="D3200" i="1"/>
  <c r="B3200" i="1"/>
  <c r="A3200" i="1"/>
  <c r="U2366" i="1"/>
  <c r="R2366" i="1"/>
  <c r="Q2366" i="1"/>
  <c r="P2366" i="1"/>
  <c r="O2366" i="1"/>
  <c r="N2366" i="1"/>
  <c r="M2366" i="1"/>
  <c r="K2366" i="1"/>
  <c r="J2366" i="1"/>
  <c r="I2366" i="1"/>
  <c r="H2366" i="1"/>
  <c r="F2366" i="1"/>
  <c r="D2366" i="1"/>
  <c r="A2366" i="1"/>
  <c r="U2313" i="1"/>
  <c r="R2313" i="1"/>
  <c r="Q2313" i="1"/>
  <c r="P2313" i="1"/>
  <c r="O2313" i="1"/>
  <c r="N2313" i="1"/>
  <c r="M2313" i="1"/>
  <c r="K2313" i="1"/>
  <c r="J2313" i="1"/>
  <c r="I2313" i="1"/>
  <c r="H2313" i="1"/>
  <c r="F2313" i="1"/>
  <c r="D2313" i="1"/>
  <c r="B2313" i="1"/>
  <c r="A2313" i="1"/>
  <c r="U3017" i="1"/>
  <c r="R3017" i="1"/>
  <c r="Q3017" i="1"/>
  <c r="P3017" i="1"/>
  <c r="O3017" i="1"/>
  <c r="N3017" i="1"/>
  <c r="M3017" i="1"/>
  <c r="K3017" i="1"/>
  <c r="J3017" i="1"/>
  <c r="I3017" i="1"/>
  <c r="H3017" i="1"/>
  <c r="F3017" i="1"/>
  <c r="D3017" i="1"/>
  <c r="B3017" i="1"/>
  <c r="A3017" i="1"/>
  <c r="U2382" i="1"/>
  <c r="R2382" i="1"/>
  <c r="Q2382" i="1"/>
  <c r="P2382" i="1"/>
  <c r="O2382" i="1"/>
  <c r="N2382" i="1"/>
  <c r="M2382" i="1"/>
  <c r="K2382" i="1"/>
  <c r="J2382" i="1"/>
  <c r="I2382" i="1"/>
  <c r="H2382" i="1"/>
  <c r="F2382" i="1"/>
  <c r="E2382" i="1"/>
  <c r="D2382" i="1"/>
  <c r="B2382" i="1"/>
  <c r="A2382" i="1"/>
  <c r="U2121" i="1"/>
  <c r="R2121" i="1"/>
  <c r="Q2121" i="1"/>
  <c r="P2121" i="1"/>
  <c r="O2121" i="1"/>
  <c r="N2121" i="1"/>
  <c r="M2121" i="1"/>
  <c r="J2121" i="1"/>
  <c r="I2121" i="1"/>
  <c r="H2121" i="1"/>
  <c r="F2121" i="1"/>
  <c r="D2121" i="1"/>
  <c r="A2121" i="1"/>
  <c r="U2790" i="1"/>
  <c r="R2790" i="1"/>
  <c r="Q2790" i="1"/>
  <c r="P2790" i="1"/>
  <c r="O2790" i="1"/>
  <c r="N2790" i="1"/>
  <c r="M2790" i="1"/>
  <c r="K2790" i="1"/>
  <c r="J2790" i="1"/>
  <c r="I2790" i="1"/>
  <c r="H2790" i="1"/>
  <c r="F2790" i="1"/>
  <c r="D2790" i="1"/>
  <c r="B2790" i="1"/>
  <c r="A2790" i="1"/>
  <c r="U2910" i="1"/>
  <c r="R2910" i="1"/>
  <c r="Q2910" i="1"/>
  <c r="P2910" i="1"/>
  <c r="O2910" i="1"/>
  <c r="N2910" i="1"/>
  <c r="M2910" i="1"/>
  <c r="K2910" i="1"/>
  <c r="J2910" i="1"/>
  <c r="I2910" i="1"/>
  <c r="H2910" i="1"/>
  <c r="F2910" i="1"/>
  <c r="D2910" i="1"/>
  <c r="B2910" i="1"/>
  <c r="A2910" i="1"/>
  <c r="U2975" i="1"/>
  <c r="R2975" i="1"/>
  <c r="Q2975" i="1"/>
  <c r="P2975" i="1"/>
  <c r="O2975" i="1"/>
  <c r="N2975" i="1"/>
  <c r="M2975" i="1"/>
  <c r="K2975" i="1"/>
  <c r="J2975" i="1"/>
  <c r="I2975" i="1"/>
  <c r="H2975" i="1"/>
  <c r="F2975" i="1"/>
  <c r="E2975" i="1"/>
  <c r="D2975" i="1"/>
  <c r="B2975" i="1"/>
  <c r="A2975" i="1"/>
  <c r="U3065" i="1"/>
  <c r="R3065" i="1"/>
  <c r="Q3065" i="1"/>
  <c r="P3065" i="1"/>
  <c r="O3065" i="1"/>
  <c r="N3065" i="1"/>
  <c r="M3065" i="1"/>
  <c r="K3065" i="1"/>
  <c r="J3065" i="1"/>
  <c r="I3065" i="1"/>
  <c r="H3065" i="1"/>
  <c r="F3065" i="1"/>
  <c r="D3065" i="1"/>
  <c r="B3065" i="1"/>
  <c r="A3065" i="1"/>
  <c r="U2972" i="1"/>
  <c r="R2972" i="1"/>
  <c r="Q2972" i="1"/>
  <c r="P2972" i="1"/>
  <c r="O2972" i="1"/>
  <c r="N2972" i="1"/>
  <c r="M2972" i="1"/>
  <c r="K2972" i="1"/>
  <c r="J2972" i="1"/>
  <c r="I2972" i="1"/>
  <c r="H2972" i="1"/>
  <c r="F2972" i="1"/>
  <c r="D2972" i="1"/>
  <c r="B2972" i="1"/>
  <c r="A2972" i="1"/>
  <c r="U3153" i="1"/>
  <c r="R3153" i="1"/>
  <c r="Q3153" i="1"/>
  <c r="P3153" i="1"/>
  <c r="O3153" i="1"/>
  <c r="N3153" i="1"/>
  <c r="M3153" i="1"/>
  <c r="K3153" i="1"/>
  <c r="J3153" i="1"/>
  <c r="I3153" i="1"/>
  <c r="H3153" i="1"/>
  <c r="F3153" i="1"/>
  <c r="D3153" i="1"/>
  <c r="B3153" i="1"/>
  <c r="A3153" i="1"/>
  <c r="U3193" i="1"/>
  <c r="R3193" i="1"/>
  <c r="Q3193" i="1"/>
  <c r="P3193" i="1"/>
  <c r="O3193" i="1"/>
  <c r="N3193" i="1"/>
  <c r="M3193" i="1"/>
  <c r="K3193" i="1"/>
  <c r="J3193" i="1"/>
  <c r="I3193" i="1"/>
  <c r="H3193" i="1"/>
  <c r="F3193" i="1"/>
  <c r="D3193" i="1"/>
  <c r="B3193" i="1"/>
  <c r="A3193" i="1"/>
  <c r="U1948" i="1"/>
  <c r="R1948" i="1"/>
  <c r="Q1948" i="1"/>
  <c r="P1948" i="1"/>
  <c r="O1948" i="1"/>
  <c r="N1948" i="1"/>
  <c r="M1948" i="1"/>
  <c r="K1948" i="1"/>
  <c r="J1948" i="1"/>
  <c r="I1948" i="1"/>
  <c r="H1948" i="1"/>
  <c r="F1948" i="1"/>
  <c r="D1948" i="1"/>
  <c r="B1948" i="1"/>
  <c r="A1948" i="1"/>
  <c r="U1947" i="1"/>
  <c r="R1947" i="1"/>
  <c r="Q1947" i="1"/>
  <c r="P1947" i="1"/>
  <c r="O1947" i="1"/>
  <c r="N1947" i="1"/>
  <c r="M1947" i="1"/>
  <c r="K1947" i="1"/>
  <c r="J1947" i="1"/>
  <c r="I1947" i="1"/>
  <c r="H1947" i="1"/>
  <c r="F1947" i="1"/>
  <c r="D1947" i="1"/>
  <c r="B1947" i="1"/>
  <c r="A1947" i="1"/>
  <c r="U3190" i="1"/>
  <c r="R3190" i="1"/>
  <c r="Q3190" i="1"/>
  <c r="P3190" i="1"/>
  <c r="O3190" i="1"/>
  <c r="N3190" i="1"/>
  <c r="M3190" i="1"/>
  <c r="K3190" i="1"/>
  <c r="J3190" i="1"/>
  <c r="I3190" i="1"/>
  <c r="H3190" i="1"/>
  <c r="F3190" i="1"/>
  <c r="D3190" i="1"/>
  <c r="B3190" i="1"/>
  <c r="A3190" i="1"/>
  <c r="U1946" i="1"/>
  <c r="R1946" i="1"/>
  <c r="Q1946" i="1"/>
  <c r="P1946" i="1"/>
  <c r="O1946" i="1"/>
  <c r="N1946" i="1"/>
  <c r="M1946" i="1"/>
  <c r="K1946" i="1"/>
  <c r="J1946" i="1"/>
  <c r="I1946" i="1"/>
  <c r="H1946" i="1"/>
  <c r="F1946" i="1"/>
  <c r="D1946" i="1"/>
  <c r="B1946" i="1"/>
  <c r="A1946" i="1"/>
  <c r="U3199" i="1"/>
  <c r="R3199" i="1"/>
  <c r="Q3199" i="1"/>
  <c r="P3199" i="1"/>
  <c r="O3199" i="1"/>
  <c r="N3199" i="1"/>
  <c r="M3199" i="1"/>
  <c r="K3199" i="1"/>
  <c r="J3199" i="1"/>
  <c r="I3199" i="1"/>
  <c r="H3199" i="1"/>
  <c r="F3199" i="1"/>
  <c r="D3199" i="1"/>
  <c r="B3199" i="1"/>
  <c r="A3199" i="1"/>
  <c r="U2584" i="1"/>
  <c r="R2584" i="1"/>
  <c r="Q2584" i="1"/>
  <c r="P2584" i="1"/>
  <c r="O2584" i="1"/>
  <c r="N2584" i="1"/>
  <c r="M2584" i="1"/>
  <c r="K2584" i="1"/>
  <c r="J2584" i="1"/>
  <c r="I2584" i="1"/>
  <c r="H2584" i="1"/>
  <c r="F2584" i="1"/>
  <c r="D2584" i="1"/>
  <c r="B2584" i="1"/>
  <c r="A2584" i="1"/>
  <c r="U2522" i="1"/>
  <c r="R2522" i="1"/>
  <c r="Q2522" i="1"/>
  <c r="P2522" i="1"/>
  <c r="O2522" i="1"/>
  <c r="N2522" i="1"/>
  <c r="M2522" i="1"/>
  <c r="K2522" i="1"/>
  <c r="J2522" i="1"/>
  <c r="I2522" i="1"/>
  <c r="H2522" i="1"/>
  <c r="F2522" i="1"/>
  <c r="D2522" i="1"/>
  <c r="B2522" i="1"/>
  <c r="A2522" i="1"/>
  <c r="U2568" i="1"/>
  <c r="R2568" i="1"/>
  <c r="Q2568" i="1"/>
  <c r="P2568" i="1"/>
  <c r="O2568" i="1"/>
  <c r="N2568" i="1"/>
  <c r="M2568" i="1"/>
  <c r="K2568" i="1"/>
  <c r="J2568" i="1"/>
  <c r="I2568" i="1"/>
  <c r="H2568" i="1"/>
  <c r="F2568" i="1"/>
  <c r="D2568" i="1"/>
  <c r="B2568" i="1"/>
  <c r="A2568" i="1"/>
  <c r="U2619" i="1"/>
  <c r="R2619" i="1"/>
  <c r="Q2619" i="1"/>
  <c r="P2619" i="1"/>
  <c r="O2619" i="1"/>
  <c r="N2619" i="1"/>
  <c r="M2619" i="1"/>
  <c r="K2619" i="1"/>
  <c r="J2619" i="1"/>
  <c r="I2619" i="1"/>
  <c r="H2619" i="1"/>
  <c r="F2619" i="1"/>
  <c r="D2619" i="1"/>
  <c r="B2619" i="1"/>
  <c r="A2619" i="1"/>
  <c r="U2684" i="1"/>
  <c r="R2684" i="1"/>
  <c r="Q2684" i="1"/>
  <c r="P2684" i="1"/>
  <c r="O2684" i="1"/>
  <c r="N2684" i="1"/>
  <c r="M2684" i="1"/>
  <c r="K2684" i="1"/>
  <c r="J2684" i="1"/>
  <c r="I2684" i="1"/>
  <c r="H2684" i="1"/>
  <c r="F2684" i="1"/>
  <c r="D2684" i="1"/>
  <c r="B2684" i="1"/>
  <c r="A2684" i="1"/>
  <c r="U3104" i="1"/>
  <c r="R3104" i="1"/>
  <c r="Q3104" i="1"/>
  <c r="P3104" i="1"/>
  <c r="O3104" i="1"/>
  <c r="N3104" i="1"/>
  <c r="M3104" i="1"/>
  <c r="J3104" i="1"/>
  <c r="I3104" i="1"/>
  <c r="H3104" i="1"/>
  <c r="F3104" i="1"/>
  <c r="D3104" i="1"/>
  <c r="B3104" i="1"/>
  <c r="A3104" i="1"/>
  <c r="U2933" i="1"/>
  <c r="R2933" i="1"/>
  <c r="Q2933" i="1"/>
  <c r="P2933" i="1"/>
  <c r="O2933" i="1"/>
  <c r="N2933" i="1"/>
  <c r="M2933" i="1"/>
  <c r="K2933" i="1"/>
  <c r="J2933" i="1"/>
  <c r="I2933" i="1"/>
  <c r="H2933" i="1"/>
  <c r="F2933" i="1"/>
  <c r="D2933" i="1"/>
  <c r="B2933" i="1"/>
  <c r="A2933" i="1"/>
  <c r="U2490" i="1"/>
  <c r="R2490" i="1"/>
  <c r="Q2490" i="1"/>
  <c r="P2490" i="1"/>
  <c r="O2490" i="1"/>
  <c r="N2490" i="1"/>
  <c r="M2490" i="1"/>
  <c r="K2490" i="1"/>
  <c r="J2490" i="1"/>
  <c r="I2490" i="1"/>
  <c r="H2490" i="1"/>
  <c r="F2490" i="1"/>
  <c r="D2490" i="1"/>
  <c r="B2490" i="1"/>
  <c r="A2490" i="1"/>
  <c r="U2489" i="1"/>
  <c r="R2489" i="1"/>
  <c r="Q2489" i="1"/>
  <c r="P2489" i="1"/>
  <c r="O2489" i="1"/>
  <c r="N2489" i="1"/>
  <c r="M2489" i="1"/>
  <c r="K2489" i="1"/>
  <c r="J2489" i="1"/>
  <c r="I2489" i="1"/>
  <c r="H2489" i="1"/>
  <c r="F2489" i="1"/>
  <c r="D2489" i="1"/>
  <c r="B2489" i="1"/>
  <c r="A2489" i="1"/>
  <c r="U3107" i="1"/>
  <c r="R3107" i="1"/>
  <c r="Q3107" i="1"/>
  <c r="P3107" i="1"/>
  <c r="O3107" i="1"/>
  <c r="N3107" i="1"/>
  <c r="M3107" i="1"/>
  <c r="K3107" i="1"/>
  <c r="J3107" i="1"/>
  <c r="I3107" i="1"/>
  <c r="H3107" i="1"/>
  <c r="F3107" i="1"/>
  <c r="D3107" i="1"/>
  <c r="B3107" i="1"/>
  <c r="A3107" i="1"/>
  <c r="U40" i="1"/>
  <c r="R40" i="1"/>
  <c r="Q40" i="1"/>
  <c r="P40" i="1"/>
  <c r="O40" i="1"/>
  <c r="N40" i="1"/>
  <c r="M40" i="1"/>
  <c r="J40" i="1"/>
  <c r="I40" i="1"/>
  <c r="H40" i="1"/>
  <c r="F40" i="1"/>
  <c r="D40" i="1"/>
  <c r="B40" i="1"/>
  <c r="A40" i="1"/>
  <c r="U11" i="1"/>
  <c r="R11" i="1"/>
  <c r="Q11" i="1"/>
  <c r="P11" i="1"/>
  <c r="O11" i="1"/>
  <c r="N11" i="1"/>
  <c r="M11" i="1"/>
  <c r="J11" i="1"/>
  <c r="I11" i="1"/>
  <c r="H11" i="1"/>
  <c r="F11" i="1"/>
  <c r="E11" i="1"/>
  <c r="D11" i="1"/>
  <c r="B11" i="1"/>
  <c r="A11" i="1"/>
  <c r="U39" i="1"/>
  <c r="R39" i="1"/>
  <c r="Q39" i="1"/>
  <c r="P39" i="1"/>
  <c r="O39" i="1"/>
  <c r="N39" i="1"/>
  <c r="M39" i="1"/>
  <c r="J39" i="1"/>
  <c r="I39" i="1"/>
  <c r="H39" i="1"/>
  <c r="F39" i="1"/>
  <c r="D39" i="1"/>
  <c r="B39" i="1"/>
  <c r="A39" i="1"/>
  <c r="U121" i="1"/>
  <c r="R121" i="1"/>
  <c r="Q121" i="1"/>
  <c r="P121" i="1"/>
  <c r="O121" i="1"/>
  <c r="N121" i="1"/>
  <c r="M121" i="1"/>
  <c r="J121" i="1"/>
  <c r="I121" i="1"/>
  <c r="H121" i="1"/>
  <c r="F121" i="1"/>
  <c r="D121" i="1"/>
  <c r="B121" i="1"/>
  <c r="A121" i="1"/>
  <c r="U151" i="1"/>
  <c r="R151" i="1"/>
  <c r="Q151" i="1"/>
  <c r="P151" i="1"/>
  <c r="O151" i="1"/>
  <c r="N151" i="1"/>
  <c r="M151" i="1"/>
  <c r="J151" i="1"/>
  <c r="I151" i="1"/>
  <c r="H151" i="1"/>
  <c r="G151" i="1"/>
  <c r="F151" i="1"/>
  <c r="D151" i="1"/>
  <c r="B151" i="1"/>
  <c r="A151" i="1"/>
  <c r="U175" i="1"/>
  <c r="R175" i="1"/>
  <c r="Q175" i="1"/>
  <c r="P175" i="1"/>
  <c r="O175" i="1"/>
  <c r="N175" i="1"/>
  <c r="M175" i="1"/>
  <c r="J175" i="1"/>
  <c r="I175" i="1"/>
  <c r="H175" i="1"/>
  <c r="F175" i="1"/>
  <c r="E175" i="1"/>
  <c r="D175" i="1"/>
  <c r="B175" i="1"/>
  <c r="A175" i="1"/>
  <c r="U283" i="1"/>
  <c r="R283" i="1"/>
  <c r="Q283" i="1"/>
  <c r="P283" i="1"/>
  <c r="O283" i="1"/>
  <c r="N283" i="1"/>
  <c r="M283" i="1"/>
  <c r="I283" i="1"/>
  <c r="H283" i="1"/>
  <c r="F283" i="1"/>
  <c r="D283" i="1"/>
  <c r="B283" i="1"/>
  <c r="A283" i="1"/>
  <c r="U88" i="1"/>
  <c r="R88" i="1"/>
  <c r="Q88" i="1"/>
  <c r="P88" i="1"/>
  <c r="O88" i="1"/>
  <c r="N88" i="1"/>
  <c r="M88" i="1"/>
  <c r="I88" i="1"/>
  <c r="H88" i="1"/>
  <c r="F88" i="1"/>
  <c r="D88" i="1"/>
  <c r="B88" i="1"/>
  <c r="A88" i="1"/>
  <c r="U277" i="1"/>
  <c r="R277" i="1"/>
  <c r="Q277" i="1"/>
  <c r="P277" i="1"/>
  <c r="O277" i="1"/>
  <c r="N277" i="1"/>
  <c r="M277" i="1"/>
  <c r="J277" i="1"/>
  <c r="I277" i="1"/>
  <c r="H277" i="1"/>
  <c r="F277" i="1"/>
  <c r="D277" i="1"/>
  <c r="B277" i="1"/>
  <c r="A277" i="1"/>
  <c r="U265" i="1"/>
  <c r="R265" i="1"/>
  <c r="Q265" i="1"/>
  <c r="P265" i="1"/>
  <c r="O265" i="1"/>
  <c r="N265" i="1"/>
  <c r="M265" i="1"/>
  <c r="J265" i="1"/>
  <c r="I265" i="1"/>
  <c r="H265" i="1"/>
  <c r="F265" i="1"/>
  <c r="D265" i="1"/>
  <c r="B265" i="1"/>
  <c r="A265" i="1"/>
  <c r="U333" i="1"/>
  <c r="R333" i="1"/>
  <c r="Q333" i="1"/>
  <c r="P333" i="1"/>
  <c r="O333" i="1"/>
  <c r="N333" i="1"/>
  <c r="M333" i="1"/>
  <c r="J333" i="1"/>
  <c r="I333" i="1"/>
  <c r="H333" i="1"/>
  <c r="F333" i="1"/>
  <c r="D333" i="1"/>
  <c r="B333" i="1"/>
  <c r="A333" i="1"/>
  <c r="U297" i="1"/>
  <c r="R297" i="1"/>
  <c r="Q297" i="1"/>
  <c r="P297" i="1"/>
  <c r="O297" i="1"/>
  <c r="N297" i="1"/>
  <c r="M297" i="1"/>
  <c r="J297" i="1"/>
  <c r="I297" i="1"/>
  <c r="H297" i="1"/>
  <c r="F297" i="1"/>
  <c r="D297" i="1"/>
  <c r="B297" i="1"/>
  <c r="A297" i="1"/>
  <c r="U245" i="1"/>
  <c r="R245" i="1"/>
  <c r="Q245" i="1"/>
  <c r="P245" i="1"/>
  <c r="O245" i="1"/>
  <c r="N245" i="1"/>
  <c r="M245" i="1"/>
  <c r="I245" i="1"/>
  <c r="H245" i="1"/>
  <c r="F245" i="1"/>
  <c r="D245" i="1"/>
  <c r="B245" i="1"/>
  <c r="A245" i="1"/>
  <c r="U331" i="1"/>
  <c r="R331" i="1"/>
  <c r="Q331" i="1"/>
  <c r="P331" i="1"/>
  <c r="O331" i="1"/>
  <c r="N331" i="1"/>
  <c r="M331" i="1"/>
  <c r="J331" i="1"/>
  <c r="I331" i="1"/>
  <c r="H331" i="1"/>
  <c r="F331" i="1"/>
  <c r="E331" i="1"/>
  <c r="D331" i="1"/>
  <c r="B331" i="1"/>
  <c r="A331" i="1"/>
  <c r="U131" i="1"/>
  <c r="R131" i="1"/>
  <c r="Q131" i="1"/>
  <c r="P131" i="1"/>
  <c r="O131" i="1"/>
  <c r="N131" i="1"/>
  <c r="M131" i="1"/>
  <c r="J131" i="1"/>
  <c r="I131" i="1"/>
  <c r="H131" i="1"/>
  <c r="F131" i="1"/>
  <c r="D131" i="1"/>
  <c r="B131" i="1"/>
  <c r="A131" i="1"/>
  <c r="U346" i="1"/>
  <c r="R346" i="1"/>
  <c r="Q346" i="1"/>
  <c r="P346" i="1"/>
  <c r="O346" i="1"/>
  <c r="N346" i="1"/>
  <c r="M346" i="1"/>
  <c r="J346" i="1"/>
  <c r="I346" i="1"/>
  <c r="H346" i="1"/>
  <c r="F346" i="1"/>
  <c r="D346" i="1"/>
  <c r="B346" i="1"/>
  <c r="A346" i="1"/>
  <c r="U366" i="1"/>
  <c r="R366" i="1"/>
  <c r="Q366" i="1"/>
  <c r="P366" i="1"/>
  <c r="O366" i="1"/>
  <c r="N366" i="1"/>
  <c r="M366" i="1"/>
  <c r="J366" i="1"/>
  <c r="I366" i="1"/>
  <c r="H366" i="1"/>
  <c r="F366" i="1"/>
  <c r="D366" i="1"/>
  <c r="B366" i="1"/>
  <c r="A366" i="1"/>
  <c r="U326" i="1"/>
  <c r="R326" i="1"/>
  <c r="Q326" i="1"/>
  <c r="P326" i="1"/>
  <c r="O326" i="1"/>
  <c r="N326" i="1"/>
  <c r="M326" i="1"/>
  <c r="J326" i="1"/>
  <c r="I326" i="1"/>
  <c r="H326" i="1"/>
  <c r="F326" i="1"/>
  <c r="D326" i="1"/>
  <c r="B326" i="1"/>
  <c r="A326" i="1"/>
  <c r="U321" i="1"/>
  <c r="R321" i="1"/>
  <c r="Q321" i="1"/>
  <c r="P321" i="1"/>
  <c r="O321" i="1"/>
  <c r="N321" i="1"/>
  <c r="M321" i="1"/>
  <c r="J321" i="1"/>
  <c r="I321" i="1"/>
  <c r="H321" i="1"/>
  <c r="F321" i="1"/>
  <c r="D321" i="1"/>
  <c r="B321" i="1"/>
  <c r="A321" i="1"/>
  <c r="U289" i="1"/>
  <c r="R289" i="1"/>
  <c r="Q289" i="1"/>
  <c r="P289" i="1"/>
  <c r="O289" i="1"/>
  <c r="N289" i="1"/>
  <c r="M289" i="1"/>
  <c r="J289" i="1"/>
  <c r="I289" i="1"/>
  <c r="H289" i="1"/>
  <c r="F289" i="1"/>
  <c r="D289" i="1"/>
  <c r="B289" i="1"/>
  <c r="A289" i="1"/>
  <c r="U406" i="1"/>
  <c r="R406" i="1"/>
  <c r="Q406" i="1"/>
  <c r="P406" i="1"/>
  <c r="O406" i="1"/>
  <c r="N406" i="1"/>
  <c r="M406" i="1"/>
  <c r="J406" i="1"/>
  <c r="I406" i="1"/>
  <c r="H406" i="1"/>
  <c r="F406" i="1"/>
  <c r="D406" i="1"/>
  <c r="B406" i="1"/>
  <c r="A406" i="1"/>
  <c r="U371" i="1"/>
  <c r="R371" i="1"/>
  <c r="Q371" i="1"/>
  <c r="P371" i="1"/>
  <c r="O371" i="1"/>
  <c r="N371" i="1"/>
  <c r="M371" i="1"/>
  <c r="J371" i="1"/>
  <c r="I371" i="1"/>
  <c r="H371" i="1"/>
  <c r="F371" i="1"/>
  <c r="E371" i="1"/>
  <c r="D371" i="1"/>
  <c r="B371" i="1"/>
  <c r="A371" i="1"/>
  <c r="U418" i="1"/>
  <c r="R418" i="1"/>
  <c r="Q418" i="1"/>
  <c r="P418" i="1"/>
  <c r="O418" i="1"/>
  <c r="N418" i="1"/>
  <c r="M418" i="1"/>
  <c r="J418" i="1"/>
  <c r="I418" i="1"/>
  <c r="H418" i="1"/>
  <c r="F418" i="1"/>
  <c r="D418" i="1"/>
  <c r="B418" i="1"/>
  <c r="A418" i="1"/>
  <c r="U386" i="1"/>
  <c r="R386" i="1"/>
  <c r="Q386" i="1"/>
  <c r="P386" i="1"/>
  <c r="O386" i="1"/>
  <c r="N386" i="1"/>
  <c r="M386" i="1"/>
  <c r="J386" i="1"/>
  <c r="I386" i="1"/>
  <c r="H386" i="1"/>
  <c r="F386" i="1"/>
  <c r="D386" i="1"/>
  <c r="B386" i="1"/>
  <c r="A386" i="1"/>
  <c r="U389" i="1"/>
  <c r="R389" i="1"/>
  <c r="Q389" i="1"/>
  <c r="P389" i="1"/>
  <c r="O389" i="1"/>
  <c r="N389" i="1"/>
  <c r="M389" i="1"/>
  <c r="J389" i="1"/>
  <c r="I389" i="1"/>
  <c r="H389" i="1"/>
  <c r="G389" i="1"/>
  <c r="F389" i="1"/>
  <c r="D389" i="1"/>
  <c r="B389" i="1"/>
  <c r="A389" i="1"/>
  <c r="U521" i="1"/>
  <c r="R521" i="1"/>
  <c r="Q521" i="1"/>
  <c r="P521" i="1"/>
  <c r="O521" i="1"/>
  <c r="N521" i="1"/>
  <c r="M521" i="1"/>
  <c r="J521" i="1"/>
  <c r="I521" i="1"/>
  <c r="H521" i="1"/>
  <c r="F521" i="1"/>
  <c r="E521" i="1"/>
  <c r="D521" i="1"/>
  <c r="B521" i="1"/>
  <c r="A521" i="1"/>
  <c r="U483" i="1"/>
  <c r="R483" i="1"/>
  <c r="Q483" i="1"/>
  <c r="P483" i="1"/>
  <c r="O483" i="1"/>
  <c r="N483" i="1"/>
  <c r="M483" i="1"/>
  <c r="J483" i="1"/>
  <c r="I483" i="1"/>
  <c r="H483" i="1"/>
  <c r="F483" i="1"/>
  <c r="E483" i="1"/>
  <c r="D483" i="1"/>
  <c r="B483" i="1"/>
  <c r="A483" i="1"/>
  <c r="U183" i="1"/>
  <c r="R183" i="1"/>
  <c r="Q183" i="1"/>
  <c r="P183" i="1"/>
  <c r="O183" i="1"/>
  <c r="N183" i="1"/>
  <c r="M183" i="1"/>
  <c r="J183" i="1"/>
  <c r="I183" i="1"/>
  <c r="H183" i="1"/>
  <c r="F183" i="1"/>
  <c r="D183" i="1"/>
  <c r="B183" i="1"/>
  <c r="A183" i="1"/>
  <c r="U320" i="1"/>
  <c r="R320" i="1"/>
  <c r="Q320" i="1"/>
  <c r="P320" i="1"/>
  <c r="O320" i="1"/>
  <c r="N320" i="1"/>
  <c r="M320" i="1"/>
  <c r="J320" i="1"/>
  <c r="I320" i="1"/>
  <c r="H320" i="1"/>
  <c r="F320" i="1"/>
  <c r="E320" i="1"/>
  <c r="D320" i="1"/>
  <c r="B320" i="1"/>
  <c r="A320" i="1"/>
  <c r="U623" i="1"/>
  <c r="R623" i="1"/>
  <c r="Q623" i="1"/>
  <c r="P623" i="1"/>
  <c r="O623" i="1"/>
  <c r="N623" i="1"/>
  <c r="M623" i="1"/>
  <c r="J623" i="1"/>
  <c r="I623" i="1"/>
  <c r="H623" i="1"/>
  <c r="F623" i="1"/>
  <c r="D623" i="1"/>
  <c r="B623" i="1"/>
  <c r="A623" i="1"/>
  <c r="U638" i="1"/>
  <c r="R638" i="1"/>
  <c r="Q638" i="1"/>
  <c r="P638" i="1"/>
  <c r="O638" i="1"/>
  <c r="N638" i="1"/>
  <c r="M638" i="1"/>
  <c r="J638" i="1"/>
  <c r="I638" i="1"/>
  <c r="H638" i="1"/>
  <c r="F638" i="1"/>
  <c r="D638" i="1"/>
  <c r="B638" i="1"/>
  <c r="A638" i="1"/>
  <c r="U648" i="1"/>
  <c r="R648" i="1"/>
  <c r="Q648" i="1"/>
  <c r="P648" i="1"/>
  <c r="O648" i="1"/>
  <c r="N648" i="1"/>
  <c r="M648" i="1"/>
  <c r="I648" i="1"/>
  <c r="H648" i="1"/>
  <c r="F648" i="1"/>
  <c r="D648" i="1"/>
  <c r="B648" i="1"/>
  <c r="A648" i="1"/>
  <c r="U691" i="1"/>
  <c r="R691" i="1"/>
  <c r="Q691" i="1"/>
  <c r="P691" i="1"/>
  <c r="O691" i="1"/>
  <c r="N691" i="1"/>
  <c r="M691" i="1"/>
  <c r="J691" i="1"/>
  <c r="I691" i="1"/>
  <c r="H691" i="1"/>
  <c r="F691" i="1"/>
  <c r="D691" i="1"/>
  <c r="B691" i="1"/>
  <c r="A691" i="1"/>
  <c r="U716" i="1"/>
  <c r="R716" i="1"/>
  <c r="Q716" i="1"/>
  <c r="P716" i="1"/>
  <c r="O716" i="1"/>
  <c r="N716" i="1"/>
  <c r="M716" i="1"/>
  <c r="J716" i="1"/>
  <c r="I716" i="1"/>
  <c r="H716" i="1"/>
  <c r="F716" i="1"/>
  <c r="D716" i="1"/>
  <c r="B716" i="1"/>
  <c r="A716" i="1"/>
  <c r="U722" i="1"/>
  <c r="R722" i="1"/>
  <c r="Q722" i="1"/>
  <c r="P722" i="1"/>
  <c r="O722" i="1"/>
  <c r="N722" i="1"/>
  <c r="M722" i="1"/>
  <c r="J722" i="1"/>
  <c r="I722" i="1"/>
  <c r="H722" i="1"/>
  <c r="F722" i="1"/>
  <c r="D722" i="1"/>
  <c r="B722" i="1"/>
  <c r="A722" i="1"/>
  <c r="U111" i="1"/>
  <c r="R111" i="1"/>
  <c r="Q111" i="1"/>
  <c r="P111" i="1"/>
  <c r="O111" i="1"/>
  <c r="N111" i="1"/>
  <c r="M111" i="1"/>
  <c r="J111" i="1"/>
  <c r="I111" i="1"/>
  <c r="H111" i="1"/>
  <c r="F111" i="1"/>
  <c r="D111" i="1"/>
  <c r="B111" i="1"/>
  <c r="A111" i="1"/>
  <c r="U71" i="1"/>
  <c r="R71" i="1"/>
  <c r="Q71" i="1"/>
  <c r="P71" i="1"/>
  <c r="O71" i="1"/>
  <c r="N71" i="1"/>
  <c r="M71" i="1"/>
  <c r="J71" i="1"/>
  <c r="I71" i="1"/>
  <c r="H71" i="1"/>
  <c r="F71" i="1"/>
  <c r="D71" i="1"/>
  <c r="B71" i="1"/>
  <c r="A71" i="1"/>
  <c r="U737" i="1"/>
  <c r="R737" i="1"/>
  <c r="Q737" i="1"/>
  <c r="P737" i="1"/>
  <c r="O737" i="1"/>
  <c r="N737" i="1"/>
  <c r="M737" i="1"/>
  <c r="J737" i="1"/>
  <c r="I737" i="1"/>
  <c r="H737" i="1"/>
  <c r="F737" i="1"/>
  <c r="D737" i="1"/>
  <c r="B737" i="1"/>
  <c r="A737" i="1"/>
  <c r="U255" i="1"/>
  <c r="R255" i="1"/>
  <c r="Q255" i="1"/>
  <c r="P255" i="1"/>
  <c r="O255" i="1"/>
  <c r="N255" i="1"/>
  <c r="M255" i="1"/>
  <c r="J255" i="1"/>
  <c r="I255" i="1"/>
  <c r="H255" i="1"/>
  <c r="G255" i="1"/>
  <c r="F255" i="1"/>
  <c r="D255" i="1"/>
  <c r="B255" i="1"/>
  <c r="A255" i="1"/>
  <c r="U243" i="1"/>
  <c r="R243" i="1"/>
  <c r="Q243" i="1"/>
  <c r="P243" i="1"/>
  <c r="O243" i="1"/>
  <c r="N243" i="1"/>
  <c r="M243" i="1"/>
  <c r="J243" i="1"/>
  <c r="I243" i="1"/>
  <c r="H243" i="1"/>
  <c r="F243" i="1"/>
  <c r="D243" i="1"/>
  <c r="B243" i="1"/>
  <c r="A243" i="1"/>
  <c r="U605" i="1"/>
  <c r="R605" i="1"/>
  <c r="Q605" i="1"/>
  <c r="P605" i="1"/>
  <c r="O605" i="1"/>
  <c r="N605" i="1"/>
  <c r="M605" i="1"/>
  <c r="J605" i="1"/>
  <c r="I605" i="1"/>
  <c r="H605" i="1"/>
  <c r="F605" i="1"/>
  <c r="D605" i="1"/>
  <c r="B605" i="1"/>
  <c r="A605" i="1"/>
  <c r="U683" i="1"/>
  <c r="R683" i="1"/>
  <c r="Q683" i="1"/>
  <c r="P683" i="1"/>
  <c r="O683" i="1"/>
  <c r="N683" i="1"/>
  <c r="M683" i="1"/>
  <c r="J683" i="1"/>
  <c r="I683" i="1"/>
  <c r="H683" i="1"/>
  <c r="F683" i="1"/>
  <c r="D683" i="1"/>
  <c r="B683" i="1"/>
  <c r="A683" i="1"/>
  <c r="U832" i="1"/>
  <c r="R832" i="1"/>
  <c r="Q832" i="1"/>
  <c r="P832" i="1"/>
  <c r="O832" i="1"/>
  <c r="N832" i="1"/>
  <c r="M832" i="1"/>
  <c r="J832" i="1"/>
  <c r="I832" i="1"/>
  <c r="H832" i="1"/>
  <c r="F832" i="1"/>
  <c r="E832" i="1"/>
  <c r="D832" i="1"/>
  <c r="B832" i="1"/>
  <c r="A832" i="1"/>
  <c r="U585" i="1"/>
  <c r="R585" i="1"/>
  <c r="Q585" i="1"/>
  <c r="P585" i="1"/>
  <c r="O585" i="1"/>
  <c r="N585" i="1"/>
  <c r="M585" i="1"/>
  <c r="J585" i="1"/>
  <c r="I585" i="1"/>
  <c r="H585" i="1"/>
  <c r="G585" i="1"/>
  <c r="F585" i="1"/>
  <c r="D585" i="1"/>
  <c r="B585" i="1"/>
  <c r="A585" i="1"/>
  <c r="U846" i="1"/>
  <c r="R846" i="1"/>
  <c r="Q846" i="1"/>
  <c r="P846" i="1"/>
  <c r="O846" i="1"/>
  <c r="N846" i="1"/>
  <c r="M846" i="1"/>
  <c r="J846" i="1"/>
  <c r="I846" i="1"/>
  <c r="H846" i="1"/>
  <c r="F846" i="1"/>
  <c r="D846" i="1"/>
  <c r="B846" i="1"/>
  <c r="A846" i="1"/>
  <c r="U818" i="1"/>
  <c r="R818" i="1"/>
  <c r="Q818" i="1"/>
  <c r="P818" i="1"/>
  <c r="O818" i="1"/>
  <c r="N818" i="1"/>
  <c r="M818" i="1"/>
  <c r="J818" i="1"/>
  <c r="I818" i="1"/>
  <c r="H818" i="1"/>
  <c r="F818" i="1"/>
  <c r="D818" i="1"/>
  <c r="B818" i="1"/>
  <c r="A818" i="1"/>
  <c r="U345" i="1"/>
  <c r="R345" i="1"/>
  <c r="Q345" i="1"/>
  <c r="P345" i="1"/>
  <c r="O345" i="1"/>
  <c r="N345" i="1"/>
  <c r="M345" i="1"/>
  <c r="J345" i="1"/>
  <c r="I345" i="1"/>
  <c r="H345" i="1"/>
  <c r="F345" i="1"/>
  <c r="D345" i="1"/>
  <c r="B345" i="1"/>
  <c r="A345" i="1"/>
  <c r="U730" i="1"/>
  <c r="R730" i="1"/>
  <c r="Q730" i="1"/>
  <c r="P730" i="1"/>
  <c r="O730" i="1"/>
  <c r="N730" i="1"/>
  <c r="M730" i="1"/>
  <c r="J730" i="1"/>
  <c r="I730" i="1"/>
  <c r="H730" i="1"/>
  <c r="F730" i="1"/>
  <c r="D730" i="1"/>
  <c r="B730" i="1"/>
  <c r="A730" i="1"/>
  <c r="U891" i="1"/>
  <c r="R891" i="1"/>
  <c r="Q891" i="1"/>
  <c r="P891" i="1"/>
  <c r="O891" i="1"/>
  <c r="N891" i="1"/>
  <c r="M891" i="1"/>
  <c r="J891" i="1"/>
  <c r="I891" i="1"/>
  <c r="H891" i="1"/>
  <c r="F891" i="1"/>
  <c r="D891" i="1"/>
  <c r="B891" i="1"/>
  <c r="A891" i="1"/>
  <c r="U877" i="1"/>
  <c r="R877" i="1"/>
  <c r="Q877" i="1"/>
  <c r="P877" i="1"/>
  <c r="O877" i="1"/>
  <c r="N877" i="1"/>
  <c r="M877" i="1"/>
  <c r="I877" i="1"/>
  <c r="H877" i="1"/>
  <c r="F877" i="1"/>
  <c r="E877" i="1"/>
  <c r="D877" i="1"/>
  <c r="B877" i="1"/>
  <c r="A877" i="1"/>
  <c r="U820" i="1"/>
  <c r="R820" i="1"/>
  <c r="Q820" i="1"/>
  <c r="P820" i="1"/>
  <c r="O820" i="1"/>
  <c r="N820" i="1"/>
  <c r="M820" i="1"/>
  <c r="I820" i="1"/>
  <c r="H820" i="1"/>
  <c r="G820" i="1"/>
  <c r="F820" i="1"/>
  <c r="D820" i="1"/>
  <c r="B820" i="1"/>
  <c r="A820" i="1"/>
  <c r="U496" i="1"/>
  <c r="R496" i="1"/>
  <c r="Q496" i="1"/>
  <c r="P496" i="1"/>
  <c r="O496" i="1"/>
  <c r="N496" i="1"/>
  <c r="M496" i="1"/>
  <c r="J496" i="1"/>
  <c r="I496" i="1"/>
  <c r="H496" i="1"/>
  <c r="F496" i="1"/>
  <c r="D496" i="1"/>
  <c r="B496" i="1"/>
  <c r="A496" i="1"/>
  <c r="U619" i="1"/>
  <c r="R619" i="1"/>
  <c r="Q619" i="1"/>
  <c r="P619" i="1"/>
  <c r="O619" i="1"/>
  <c r="N619" i="1"/>
  <c r="M619" i="1"/>
  <c r="J619" i="1"/>
  <c r="I619" i="1"/>
  <c r="H619" i="1"/>
  <c r="F619" i="1"/>
  <c r="D619" i="1"/>
  <c r="B619" i="1"/>
  <c r="A619" i="1"/>
  <c r="U690" i="1"/>
  <c r="R690" i="1"/>
  <c r="Q690" i="1"/>
  <c r="P690" i="1"/>
  <c r="O690" i="1"/>
  <c r="N690" i="1"/>
  <c r="M690" i="1"/>
  <c r="J690" i="1"/>
  <c r="I690" i="1"/>
  <c r="H690" i="1"/>
  <c r="F690" i="1"/>
  <c r="D690" i="1"/>
  <c r="B690" i="1"/>
  <c r="A690" i="1"/>
  <c r="U627" i="1"/>
  <c r="R627" i="1"/>
  <c r="Q627" i="1"/>
  <c r="P627" i="1"/>
  <c r="O627" i="1"/>
  <c r="N627" i="1"/>
  <c r="M627" i="1"/>
  <c r="J627" i="1"/>
  <c r="I627" i="1"/>
  <c r="H627" i="1"/>
  <c r="F627" i="1"/>
  <c r="D627" i="1"/>
  <c r="B627" i="1"/>
  <c r="A627" i="1"/>
  <c r="U935" i="1"/>
  <c r="R935" i="1"/>
  <c r="Q935" i="1"/>
  <c r="P935" i="1"/>
  <c r="O935" i="1"/>
  <c r="N935" i="1"/>
  <c r="M935" i="1"/>
  <c r="I935" i="1"/>
  <c r="H935" i="1"/>
  <c r="F935" i="1"/>
  <c r="D935" i="1"/>
  <c r="B935" i="1"/>
  <c r="A935" i="1"/>
  <c r="U778" i="1"/>
  <c r="R778" i="1"/>
  <c r="Q778" i="1"/>
  <c r="P778" i="1"/>
  <c r="O778" i="1"/>
  <c r="N778" i="1"/>
  <c r="M778" i="1"/>
  <c r="I778" i="1"/>
  <c r="H778" i="1"/>
  <c r="F778" i="1"/>
  <c r="D778" i="1"/>
  <c r="B778" i="1"/>
  <c r="A778" i="1"/>
  <c r="U910" i="1"/>
  <c r="R910" i="1"/>
  <c r="Q910" i="1"/>
  <c r="P910" i="1"/>
  <c r="O910" i="1"/>
  <c r="N910" i="1"/>
  <c r="M910" i="1"/>
  <c r="J910" i="1"/>
  <c r="I910" i="1"/>
  <c r="H910" i="1"/>
  <c r="F910" i="1"/>
  <c r="D910" i="1"/>
  <c r="B910" i="1"/>
  <c r="A910" i="1"/>
  <c r="U1010" i="1"/>
  <c r="R1010" i="1"/>
  <c r="Q1010" i="1"/>
  <c r="P1010" i="1"/>
  <c r="O1010" i="1"/>
  <c r="N1010" i="1"/>
  <c r="M1010" i="1"/>
  <c r="J1010" i="1"/>
  <c r="I1010" i="1"/>
  <c r="H1010" i="1"/>
  <c r="F1010" i="1"/>
  <c r="D1010" i="1"/>
  <c r="B1010" i="1"/>
  <c r="A1010" i="1"/>
  <c r="U1009" i="1"/>
  <c r="R1009" i="1"/>
  <c r="Q1009" i="1"/>
  <c r="P1009" i="1"/>
  <c r="O1009" i="1"/>
  <c r="N1009" i="1"/>
  <c r="M1009" i="1"/>
  <c r="I1009" i="1"/>
  <c r="H1009" i="1"/>
  <c r="F1009" i="1"/>
  <c r="D1009" i="1"/>
  <c r="B1009" i="1"/>
  <c r="A1009" i="1"/>
  <c r="U714" i="1"/>
  <c r="R714" i="1"/>
  <c r="Q714" i="1"/>
  <c r="P714" i="1"/>
  <c r="O714" i="1"/>
  <c r="N714" i="1"/>
  <c r="M714" i="1"/>
  <c r="J714" i="1"/>
  <c r="I714" i="1"/>
  <c r="H714" i="1"/>
  <c r="F714" i="1"/>
  <c r="D714" i="1"/>
  <c r="B714" i="1"/>
  <c r="A714" i="1"/>
  <c r="U1050" i="1"/>
  <c r="R1050" i="1"/>
  <c r="Q1050" i="1"/>
  <c r="P1050" i="1"/>
  <c r="O1050" i="1"/>
  <c r="N1050" i="1"/>
  <c r="M1050" i="1"/>
  <c r="I1050" i="1"/>
  <c r="H1050" i="1"/>
  <c r="F1050" i="1"/>
  <c r="D1050" i="1"/>
  <c r="B1050" i="1"/>
  <c r="A1050" i="1"/>
  <c r="U992" i="1"/>
  <c r="R992" i="1"/>
  <c r="Q992" i="1"/>
  <c r="P992" i="1"/>
  <c r="O992" i="1"/>
  <c r="N992" i="1"/>
  <c r="M992" i="1"/>
  <c r="J992" i="1"/>
  <c r="I992" i="1"/>
  <c r="H992" i="1"/>
  <c r="F992" i="1"/>
  <c r="D992" i="1"/>
  <c r="B992" i="1"/>
  <c r="A992" i="1"/>
  <c r="U629" i="1"/>
  <c r="R629" i="1"/>
  <c r="Q629" i="1"/>
  <c r="P629" i="1"/>
  <c r="O629" i="1"/>
  <c r="N629" i="1"/>
  <c r="M629" i="1"/>
  <c r="J629" i="1"/>
  <c r="I629" i="1"/>
  <c r="H629" i="1"/>
  <c r="F629" i="1"/>
  <c r="D629" i="1"/>
  <c r="B629" i="1"/>
  <c r="A629" i="1"/>
  <c r="U1059" i="1"/>
  <c r="R1059" i="1"/>
  <c r="Q1059" i="1"/>
  <c r="P1059" i="1"/>
  <c r="O1059" i="1"/>
  <c r="N1059" i="1"/>
  <c r="M1059" i="1"/>
  <c r="J1059" i="1"/>
  <c r="I1059" i="1"/>
  <c r="H1059" i="1"/>
  <c r="F1059" i="1"/>
  <c r="D1059" i="1"/>
  <c r="B1059" i="1"/>
  <c r="A1059" i="1"/>
  <c r="U1058" i="1"/>
  <c r="R1058" i="1"/>
  <c r="Q1058" i="1"/>
  <c r="P1058" i="1"/>
  <c r="O1058" i="1"/>
  <c r="N1058" i="1"/>
  <c r="M1058" i="1"/>
  <c r="I1058" i="1"/>
  <c r="H1058" i="1"/>
  <c r="F1058" i="1"/>
  <c r="D1058" i="1"/>
  <c r="B1058" i="1"/>
  <c r="A1058" i="1"/>
  <c r="U1057" i="1"/>
  <c r="R1057" i="1"/>
  <c r="Q1057" i="1"/>
  <c r="P1057" i="1"/>
  <c r="O1057" i="1"/>
  <c r="N1057" i="1"/>
  <c r="M1057" i="1"/>
  <c r="J1057" i="1"/>
  <c r="I1057" i="1"/>
  <c r="H1057" i="1"/>
  <c r="F1057" i="1"/>
  <c r="D1057" i="1"/>
  <c r="B1057" i="1"/>
  <c r="A1057" i="1"/>
  <c r="U1042" i="1"/>
  <c r="R1042" i="1"/>
  <c r="Q1042" i="1"/>
  <c r="P1042" i="1"/>
  <c r="O1042" i="1"/>
  <c r="N1042" i="1"/>
  <c r="M1042" i="1"/>
  <c r="I1042" i="1"/>
  <c r="H1042" i="1"/>
  <c r="F1042" i="1"/>
  <c r="D1042" i="1"/>
  <c r="B1042" i="1"/>
  <c r="A1042" i="1"/>
  <c r="U909" i="1"/>
  <c r="R909" i="1"/>
  <c r="Q909" i="1"/>
  <c r="P909" i="1"/>
  <c r="O909" i="1"/>
  <c r="N909" i="1"/>
  <c r="M909" i="1"/>
  <c r="I909" i="1"/>
  <c r="H909" i="1"/>
  <c r="F909" i="1"/>
  <c r="D909" i="1"/>
  <c r="B909" i="1"/>
  <c r="A909" i="1"/>
  <c r="U757" i="1"/>
  <c r="R757" i="1"/>
  <c r="Q757" i="1"/>
  <c r="P757" i="1"/>
  <c r="O757" i="1"/>
  <c r="N757" i="1"/>
  <c r="M757" i="1"/>
  <c r="J757" i="1"/>
  <c r="I757" i="1"/>
  <c r="H757" i="1"/>
  <c r="F757" i="1"/>
  <c r="D757" i="1"/>
  <c r="B757" i="1"/>
  <c r="A757" i="1"/>
  <c r="U1148" i="1"/>
  <c r="R1148" i="1"/>
  <c r="Q1148" i="1"/>
  <c r="P1148" i="1"/>
  <c r="O1148" i="1"/>
  <c r="N1148" i="1"/>
  <c r="M1148" i="1"/>
  <c r="J1148" i="1"/>
  <c r="I1148" i="1"/>
  <c r="H1148" i="1"/>
  <c r="F1148" i="1"/>
  <c r="D1148" i="1"/>
  <c r="B1148" i="1"/>
  <c r="A1148" i="1"/>
  <c r="U1117" i="1"/>
  <c r="R1117" i="1"/>
  <c r="Q1117" i="1"/>
  <c r="P1117" i="1"/>
  <c r="O1117" i="1"/>
  <c r="N1117" i="1"/>
  <c r="M1117" i="1"/>
  <c r="I1117" i="1"/>
  <c r="H1117" i="1"/>
  <c r="F1117" i="1"/>
  <c r="D1117" i="1"/>
  <c r="B1117" i="1"/>
  <c r="A1117" i="1"/>
  <c r="U1196" i="1"/>
  <c r="R1196" i="1"/>
  <c r="Q1196" i="1"/>
  <c r="P1196" i="1"/>
  <c r="O1196" i="1"/>
  <c r="N1196" i="1"/>
  <c r="M1196" i="1"/>
  <c r="I1196" i="1"/>
  <c r="H1196" i="1"/>
  <c r="F1196" i="1"/>
  <c r="D1196" i="1"/>
  <c r="A1196" i="1"/>
  <c r="U1197" i="1"/>
  <c r="R1197" i="1"/>
  <c r="Q1197" i="1"/>
  <c r="P1197" i="1"/>
  <c r="O1197" i="1"/>
  <c r="N1197" i="1"/>
  <c r="M1197" i="1"/>
  <c r="J1197" i="1"/>
  <c r="I1197" i="1"/>
  <c r="H1197" i="1"/>
  <c r="F1197" i="1"/>
  <c r="D1197" i="1"/>
  <c r="A1197" i="1"/>
  <c r="U995" i="1"/>
  <c r="R995" i="1"/>
  <c r="Q995" i="1"/>
  <c r="P995" i="1"/>
  <c r="O995" i="1"/>
  <c r="N995" i="1"/>
  <c r="M995" i="1"/>
  <c r="J995" i="1"/>
  <c r="I995" i="1"/>
  <c r="H995" i="1"/>
  <c r="F995" i="1"/>
  <c r="D995" i="1"/>
  <c r="B995" i="1"/>
  <c r="A995" i="1"/>
  <c r="U1137" i="1"/>
  <c r="R1137" i="1"/>
  <c r="Q1137" i="1"/>
  <c r="P1137" i="1"/>
  <c r="O1137" i="1"/>
  <c r="N1137" i="1"/>
  <c r="M1137" i="1"/>
  <c r="I1137" i="1"/>
  <c r="H1137" i="1"/>
  <c r="F1137" i="1"/>
  <c r="E1137" i="1"/>
  <c r="D1137" i="1"/>
  <c r="B1137" i="1"/>
  <c r="A1137" i="1"/>
  <c r="U1180" i="1"/>
  <c r="R1180" i="1"/>
  <c r="Q1180" i="1"/>
  <c r="P1180" i="1"/>
  <c r="O1180" i="1"/>
  <c r="N1180" i="1"/>
  <c r="M1180" i="1"/>
  <c r="I1180" i="1"/>
  <c r="H1180" i="1"/>
  <c r="F1180" i="1"/>
  <c r="D1180" i="1"/>
  <c r="B1180" i="1"/>
  <c r="A1180" i="1"/>
  <c r="U1151" i="1"/>
  <c r="R1151" i="1"/>
  <c r="Q1151" i="1"/>
  <c r="P1151" i="1"/>
  <c r="O1151" i="1"/>
  <c r="N1151" i="1"/>
  <c r="M1151" i="1"/>
  <c r="I1151" i="1"/>
  <c r="H1151" i="1"/>
  <c r="F1151" i="1"/>
  <c r="E1151" i="1"/>
  <c r="D1151" i="1"/>
  <c r="A1151" i="1"/>
  <c r="U1236" i="1"/>
  <c r="R1236" i="1"/>
  <c r="Q1236" i="1"/>
  <c r="P1236" i="1"/>
  <c r="O1236" i="1"/>
  <c r="N1236" i="1"/>
  <c r="M1236" i="1"/>
  <c r="J1236" i="1"/>
  <c r="I1236" i="1"/>
  <c r="H1236" i="1"/>
  <c r="F1236" i="1"/>
  <c r="E1236" i="1"/>
  <c r="D1236" i="1"/>
  <c r="B1236" i="1"/>
  <c r="A1236" i="1"/>
  <c r="U1264" i="1"/>
  <c r="R1264" i="1"/>
  <c r="Q1264" i="1"/>
  <c r="P1264" i="1"/>
  <c r="O1264" i="1"/>
  <c r="N1264" i="1"/>
  <c r="M1264" i="1"/>
  <c r="I1264" i="1"/>
  <c r="H1264" i="1"/>
  <c r="F1264" i="1"/>
  <c r="D1264" i="1"/>
  <c r="B1264" i="1"/>
  <c r="A1264" i="1"/>
  <c r="U1235" i="1"/>
  <c r="R1235" i="1"/>
  <c r="Q1235" i="1"/>
  <c r="P1235" i="1"/>
  <c r="O1235" i="1"/>
  <c r="N1235" i="1"/>
  <c r="M1235" i="1"/>
  <c r="J1235" i="1"/>
  <c r="I1235" i="1"/>
  <c r="H1235" i="1"/>
  <c r="F1235" i="1"/>
  <c r="D1235" i="1"/>
  <c r="B1235" i="1"/>
  <c r="A1235" i="1"/>
  <c r="U1116" i="1"/>
  <c r="R1116" i="1"/>
  <c r="Q1116" i="1"/>
  <c r="P1116" i="1"/>
  <c r="O1116" i="1"/>
  <c r="N1116" i="1"/>
  <c r="M1116" i="1"/>
  <c r="J1116" i="1"/>
  <c r="I1116" i="1"/>
  <c r="H1116" i="1"/>
  <c r="F1116" i="1"/>
  <c r="D1116" i="1"/>
  <c r="A1116" i="1"/>
  <c r="U1165" i="1"/>
  <c r="R1165" i="1"/>
  <c r="Q1165" i="1"/>
  <c r="P1165" i="1"/>
  <c r="O1165" i="1"/>
  <c r="N1165" i="1"/>
  <c r="M1165" i="1"/>
  <c r="J1165" i="1"/>
  <c r="I1165" i="1"/>
  <c r="H1165" i="1"/>
  <c r="F1165" i="1"/>
  <c r="D1165" i="1"/>
  <c r="B1165" i="1"/>
  <c r="A1165" i="1"/>
  <c r="U1254" i="1"/>
  <c r="R1254" i="1"/>
  <c r="Q1254" i="1"/>
  <c r="P1254" i="1"/>
  <c r="O1254" i="1"/>
  <c r="N1254" i="1"/>
  <c r="M1254" i="1"/>
  <c r="J1254" i="1"/>
  <c r="I1254" i="1"/>
  <c r="H1254" i="1"/>
  <c r="F1254" i="1"/>
  <c r="D1254" i="1"/>
  <c r="B1254" i="1"/>
  <c r="A1254" i="1"/>
  <c r="U1221" i="1"/>
  <c r="R1221" i="1"/>
  <c r="Q1221" i="1"/>
  <c r="P1221" i="1"/>
  <c r="O1221" i="1"/>
  <c r="N1221" i="1"/>
  <c r="M1221" i="1"/>
  <c r="I1221" i="1"/>
  <c r="H1221" i="1"/>
  <c r="F1221" i="1"/>
  <c r="D1221" i="1"/>
  <c r="B1221" i="1"/>
  <c r="A1221" i="1"/>
  <c r="U1244" i="1"/>
  <c r="R1244" i="1"/>
  <c r="Q1244" i="1"/>
  <c r="P1244" i="1"/>
  <c r="O1244" i="1"/>
  <c r="N1244" i="1"/>
  <c r="M1244" i="1"/>
  <c r="I1244" i="1"/>
  <c r="H1244" i="1"/>
  <c r="F1244" i="1"/>
  <c r="D1244" i="1"/>
  <c r="B1244" i="1"/>
  <c r="A1244" i="1"/>
  <c r="U1195" i="1"/>
  <c r="R1195" i="1"/>
  <c r="Q1195" i="1"/>
  <c r="P1195" i="1"/>
  <c r="O1195" i="1"/>
  <c r="N1195" i="1"/>
  <c r="M1195" i="1"/>
  <c r="I1195" i="1"/>
  <c r="H1195" i="1"/>
  <c r="F1195" i="1"/>
  <c r="E1195" i="1"/>
  <c r="D1195" i="1"/>
  <c r="B1195" i="1"/>
  <c r="A1195" i="1"/>
  <c r="U1253" i="1"/>
  <c r="R1253" i="1"/>
  <c r="Q1253" i="1"/>
  <c r="P1253" i="1"/>
  <c r="O1253" i="1"/>
  <c r="N1253" i="1"/>
  <c r="M1253" i="1"/>
  <c r="I1253" i="1"/>
  <c r="H1253" i="1"/>
  <c r="F1253" i="1"/>
  <c r="D1253" i="1"/>
  <c r="B1253" i="1"/>
  <c r="A1253" i="1"/>
  <c r="U390" i="1"/>
  <c r="R390" i="1"/>
  <c r="Q390" i="1"/>
  <c r="P390" i="1"/>
  <c r="O390" i="1"/>
  <c r="N390" i="1"/>
  <c r="M390" i="1"/>
  <c r="I390" i="1"/>
  <c r="H390" i="1"/>
  <c r="F390" i="1"/>
  <c r="D390" i="1"/>
  <c r="A390" i="1"/>
  <c r="U1311" i="1"/>
  <c r="R1311" i="1"/>
  <c r="Q1311" i="1"/>
  <c r="P1311" i="1"/>
  <c r="O1311" i="1"/>
  <c r="N1311" i="1"/>
  <c r="M1311" i="1"/>
  <c r="I1311" i="1"/>
  <c r="H1311" i="1"/>
  <c r="F1311" i="1"/>
  <c r="E1311" i="1"/>
  <c r="D1311" i="1"/>
  <c r="A1311" i="1"/>
  <c r="U1321" i="1"/>
  <c r="R1321" i="1"/>
  <c r="Q1321" i="1"/>
  <c r="P1321" i="1"/>
  <c r="O1321" i="1"/>
  <c r="N1321" i="1"/>
  <c r="M1321" i="1"/>
  <c r="I1321" i="1"/>
  <c r="H1321" i="1"/>
  <c r="F1321" i="1"/>
  <c r="D1321" i="1"/>
  <c r="B1321" i="1"/>
  <c r="A1321" i="1"/>
  <c r="U1325" i="1"/>
  <c r="R1325" i="1"/>
  <c r="Q1325" i="1"/>
  <c r="P1325" i="1"/>
  <c r="O1325" i="1"/>
  <c r="N1325" i="1"/>
  <c r="M1325" i="1"/>
  <c r="I1325" i="1"/>
  <c r="H1325" i="1"/>
  <c r="F1325" i="1"/>
  <c r="E1325" i="1"/>
  <c r="D1325" i="1"/>
  <c r="B1325" i="1"/>
  <c r="A1325" i="1"/>
  <c r="U1121" i="1"/>
  <c r="R1121" i="1"/>
  <c r="Q1121" i="1"/>
  <c r="P1121" i="1"/>
  <c r="O1121" i="1"/>
  <c r="N1121" i="1"/>
  <c r="M1121" i="1"/>
  <c r="I1121" i="1"/>
  <c r="H1121" i="1"/>
  <c r="F1121" i="1"/>
  <c r="D1121" i="1"/>
  <c r="B1121" i="1"/>
  <c r="A1121" i="1"/>
  <c r="U1308" i="1"/>
  <c r="R1308" i="1"/>
  <c r="Q1308" i="1"/>
  <c r="P1308" i="1"/>
  <c r="O1308" i="1"/>
  <c r="N1308" i="1"/>
  <c r="M1308" i="1"/>
  <c r="I1308" i="1"/>
  <c r="H1308" i="1"/>
  <c r="F1308" i="1"/>
  <c r="D1308" i="1"/>
  <c r="B1308" i="1"/>
  <c r="A1308" i="1"/>
  <c r="U1410" i="1"/>
  <c r="R1410" i="1"/>
  <c r="Q1410" i="1"/>
  <c r="P1410" i="1"/>
  <c r="O1410" i="1"/>
  <c r="N1410" i="1"/>
  <c r="M1410" i="1"/>
  <c r="I1410" i="1"/>
  <c r="H1410" i="1"/>
  <c r="F1410" i="1"/>
  <c r="E1410" i="1"/>
  <c r="D1410" i="1"/>
  <c r="B1410" i="1"/>
  <c r="A1410" i="1"/>
  <c r="U1435" i="1"/>
  <c r="R1435" i="1"/>
  <c r="Q1435" i="1"/>
  <c r="P1435" i="1"/>
  <c r="O1435" i="1"/>
  <c r="N1435" i="1"/>
  <c r="M1435" i="1"/>
  <c r="J1435" i="1"/>
  <c r="I1435" i="1"/>
  <c r="H1435" i="1"/>
  <c r="F1435" i="1"/>
  <c r="D1435" i="1"/>
  <c r="B1435" i="1"/>
  <c r="A1435" i="1"/>
  <c r="U1437" i="1"/>
  <c r="R1437" i="1"/>
  <c r="Q1437" i="1"/>
  <c r="P1437" i="1"/>
  <c r="O1437" i="1"/>
  <c r="N1437" i="1"/>
  <c r="M1437" i="1"/>
  <c r="I1437" i="1"/>
  <c r="H1437" i="1"/>
  <c r="F1437" i="1"/>
  <c r="D1437" i="1"/>
  <c r="B1437" i="1"/>
  <c r="A1437" i="1"/>
  <c r="U1438" i="1"/>
  <c r="R1438" i="1"/>
  <c r="Q1438" i="1"/>
  <c r="P1438" i="1"/>
  <c r="O1438" i="1"/>
  <c r="N1438" i="1"/>
  <c r="M1438" i="1"/>
  <c r="I1438" i="1"/>
  <c r="H1438" i="1"/>
  <c r="F1438" i="1"/>
  <c r="E1438" i="1"/>
  <c r="D1438" i="1"/>
  <c r="B1438" i="1"/>
  <c r="A1438" i="1"/>
  <c r="U1442" i="1"/>
  <c r="R1442" i="1"/>
  <c r="Q1442" i="1"/>
  <c r="P1442" i="1"/>
  <c r="O1442" i="1"/>
  <c r="N1442" i="1"/>
  <c r="M1442" i="1"/>
  <c r="I1442" i="1"/>
  <c r="H1442" i="1"/>
  <c r="F1442" i="1"/>
  <c r="D1442" i="1"/>
  <c r="B1442" i="1"/>
  <c r="A1442" i="1"/>
  <c r="U1443" i="1"/>
  <c r="R1443" i="1"/>
  <c r="Q1443" i="1"/>
  <c r="P1443" i="1"/>
  <c r="O1443" i="1"/>
  <c r="N1443" i="1"/>
  <c r="M1443" i="1"/>
  <c r="I1443" i="1"/>
  <c r="H1443" i="1"/>
  <c r="F1443" i="1"/>
  <c r="D1443" i="1"/>
  <c r="B1443" i="1"/>
  <c r="A1443" i="1"/>
  <c r="U1482" i="1"/>
  <c r="R1482" i="1"/>
  <c r="Q1482" i="1"/>
  <c r="P1482" i="1"/>
  <c r="O1482" i="1"/>
  <c r="N1482" i="1"/>
  <c r="M1482" i="1"/>
  <c r="J1482" i="1"/>
  <c r="I1482" i="1"/>
  <c r="H1482" i="1"/>
  <c r="F1482" i="1"/>
  <c r="D1482" i="1"/>
  <c r="A1482" i="1"/>
  <c r="U1515" i="1"/>
  <c r="R1515" i="1"/>
  <c r="Q1515" i="1"/>
  <c r="P1515" i="1"/>
  <c r="O1515" i="1"/>
  <c r="N1515" i="1"/>
  <c r="M1515" i="1"/>
  <c r="J1515" i="1"/>
  <c r="I1515" i="1"/>
  <c r="H1515" i="1"/>
  <c r="F1515" i="1"/>
  <c r="D1515" i="1"/>
  <c r="B1515" i="1"/>
  <c r="A1515" i="1"/>
  <c r="U1518" i="1"/>
  <c r="R1518" i="1"/>
  <c r="Q1518" i="1"/>
  <c r="P1518" i="1"/>
  <c r="O1518" i="1"/>
  <c r="N1518" i="1"/>
  <c r="M1518" i="1"/>
  <c r="I1518" i="1"/>
  <c r="H1518" i="1"/>
  <c r="F1518" i="1"/>
  <c r="E1518" i="1"/>
  <c r="D1518" i="1"/>
  <c r="A1518" i="1"/>
  <c r="U1521" i="1"/>
  <c r="R1521" i="1"/>
  <c r="Q1521" i="1"/>
  <c r="P1521" i="1"/>
  <c r="O1521" i="1"/>
  <c r="N1521" i="1"/>
  <c r="M1521" i="1"/>
  <c r="I1521" i="1"/>
  <c r="H1521" i="1"/>
  <c r="F1521" i="1"/>
  <c r="D1521" i="1"/>
  <c r="A1521" i="1"/>
  <c r="U1548" i="1"/>
  <c r="R1548" i="1"/>
  <c r="Q1548" i="1"/>
  <c r="P1548" i="1"/>
  <c r="O1548" i="1"/>
  <c r="N1548" i="1"/>
  <c r="M1548" i="1"/>
  <c r="J1548" i="1"/>
  <c r="I1548" i="1"/>
  <c r="H1548" i="1"/>
  <c r="F1548" i="1"/>
  <c r="D1548" i="1"/>
  <c r="B1548" i="1"/>
  <c r="A1548" i="1"/>
  <c r="U1562" i="1"/>
  <c r="R1562" i="1"/>
  <c r="Q1562" i="1"/>
  <c r="P1562" i="1"/>
  <c r="O1562" i="1"/>
  <c r="N1562" i="1"/>
  <c r="M1562" i="1"/>
  <c r="K1562" i="1"/>
  <c r="J1562" i="1"/>
  <c r="I1562" i="1"/>
  <c r="H1562" i="1"/>
  <c r="F1562" i="1"/>
  <c r="D1562" i="1"/>
  <c r="B1562" i="1"/>
  <c r="A1562" i="1"/>
  <c r="U1563" i="1"/>
  <c r="R1563" i="1"/>
  <c r="Q1563" i="1"/>
  <c r="P1563" i="1"/>
  <c r="O1563" i="1"/>
  <c r="N1563" i="1"/>
  <c r="M1563" i="1"/>
  <c r="I1563" i="1"/>
  <c r="H1563" i="1"/>
  <c r="F1563" i="1"/>
  <c r="E1563" i="1"/>
  <c r="D1563" i="1"/>
  <c r="A1563" i="1"/>
  <c r="U1564" i="1"/>
  <c r="R1564" i="1"/>
  <c r="Q1564" i="1"/>
  <c r="P1564" i="1"/>
  <c r="O1564" i="1"/>
  <c r="N1564" i="1"/>
  <c r="M1564" i="1"/>
  <c r="I1564" i="1"/>
  <c r="H1564" i="1"/>
  <c r="F1564" i="1"/>
  <c r="D1564" i="1"/>
  <c r="A1564" i="1"/>
  <c r="U1574" i="1"/>
  <c r="R1574" i="1"/>
  <c r="Q1574" i="1"/>
  <c r="P1574" i="1"/>
  <c r="O1574" i="1"/>
  <c r="N1574" i="1"/>
  <c r="M1574" i="1"/>
  <c r="I1574" i="1"/>
  <c r="H1574" i="1"/>
  <c r="F1574" i="1"/>
  <c r="E1574" i="1"/>
  <c r="D1574" i="1"/>
  <c r="A1574" i="1"/>
  <c r="U1596" i="1"/>
  <c r="R1596" i="1"/>
  <c r="Q1596" i="1"/>
  <c r="P1596" i="1"/>
  <c r="O1596" i="1"/>
  <c r="N1596" i="1"/>
  <c r="M1596" i="1"/>
  <c r="J1596" i="1"/>
  <c r="I1596" i="1"/>
  <c r="H1596" i="1"/>
  <c r="F1596" i="1"/>
  <c r="E1596" i="1"/>
  <c r="D1596" i="1"/>
  <c r="B1596" i="1"/>
  <c r="A1596" i="1"/>
  <c r="U1600" i="1"/>
  <c r="R1600" i="1"/>
  <c r="Q1600" i="1"/>
  <c r="P1600" i="1"/>
  <c r="O1600" i="1"/>
  <c r="N1600" i="1"/>
  <c r="M1600" i="1"/>
  <c r="K1600" i="1"/>
  <c r="J1600" i="1"/>
  <c r="I1600" i="1"/>
  <c r="H1600" i="1"/>
  <c r="F1600" i="1"/>
  <c r="D1600" i="1"/>
  <c r="B1600" i="1"/>
  <c r="A1600" i="1"/>
  <c r="U1611" i="1"/>
  <c r="R1611" i="1"/>
  <c r="Q1611" i="1"/>
  <c r="P1611" i="1"/>
  <c r="O1611" i="1"/>
  <c r="N1611" i="1"/>
  <c r="M1611" i="1"/>
  <c r="I1611" i="1"/>
  <c r="H1611" i="1"/>
  <c r="F1611" i="1"/>
  <c r="D1611" i="1"/>
  <c r="A1611" i="1"/>
  <c r="U1610" i="1"/>
  <c r="R1610" i="1"/>
  <c r="Q1610" i="1"/>
  <c r="P1610" i="1"/>
  <c r="O1610" i="1"/>
  <c r="N1610" i="1"/>
  <c r="M1610" i="1"/>
  <c r="J1610" i="1"/>
  <c r="I1610" i="1"/>
  <c r="H1610" i="1"/>
  <c r="F1610" i="1"/>
  <c r="D1610" i="1"/>
  <c r="A1610" i="1"/>
  <c r="U1623" i="1"/>
  <c r="R1623" i="1"/>
  <c r="Q1623" i="1"/>
  <c r="P1623" i="1"/>
  <c r="O1623" i="1"/>
  <c r="N1623" i="1"/>
  <c r="M1623" i="1"/>
  <c r="J1623" i="1"/>
  <c r="I1623" i="1"/>
  <c r="H1623" i="1"/>
  <c r="F1623" i="1"/>
  <c r="D1623" i="1"/>
  <c r="B1623" i="1"/>
  <c r="A1623" i="1"/>
  <c r="U1635" i="1"/>
  <c r="R1635" i="1"/>
  <c r="Q1635" i="1"/>
  <c r="P1635" i="1"/>
  <c r="O1635" i="1"/>
  <c r="N1635" i="1"/>
  <c r="M1635" i="1"/>
  <c r="I1635" i="1"/>
  <c r="H1635" i="1"/>
  <c r="F1635" i="1"/>
  <c r="D1635" i="1"/>
  <c r="A1635" i="1"/>
  <c r="U1646" i="1"/>
  <c r="R1646" i="1"/>
  <c r="Q1646" i="1"/>
  <c r="P1646" i="1"/>
  <c r="O1646" i="1"/>
  <c r="N1646" i="1"/>
  <c r="M1646" i="1"/>
  <c r="I1646" i="1"/>
  <c r="H1646" i="1"/>
  <c r="F1646" i="1"/>
  <c r="D1646" i="1"/>
  <c r="A1646" i="1"/>
  <c r="U1655" i="1"/>
  <c r="R1655" i="1"/>
  <c r="Q1655" i="1"/>
  <c r="P1655" i="1"/>
  <c r="O1655" i="1"/>
  <c r="N1655" i="1"/>
  <c r="M1655" i="1"/>
  <c r="I1655" i="1"/>
  <c r="H1655" i="1"/>
  <c r="F1655" i="1"/>
  <c r="D1655" i="1"/>
  <c r="B1655" i="1"/>
  <c r="A1655" i="1"/>
  <c r="U1672" i="1"/>
  <c r="R1672" i="1"/>
  <c r="Q1672" i="1"/>
  <c r="P1672" i="1"/>
  <c r="O1672" i="1"/>
  <c r="N1672" i="1"/>
  <c r="M1672" i="1"/>
  <c r="I1672" i="1"/>
  <c r="H1672" i="1"/>
  <c r="F1672" i="1"/>
  <c r="D1672" i="1"/>
  <c r="A1672" i="1"/>
  <c r="U1677" i="1"/>
  <c r="R1677" i="1"/>
  <c r="Q1677" i="1"/>
  <c r="P1677" i="1"/>
  <c r="O1677" i="1"/>
  <c r="N1677" i="1"/>
  <c r="M1677" i="1"/>
  <c r="J1677" i="1"/>
  <c r="I1677" i="1"/>
  <c r="H1677" i="1"/>
  <c r="F1677" i="1"/>
  <c r="D1677" i="1"/>
  <c r="A1677" i="1"/>
  <c r="U1678" i="1"/>
  <c r="R1678" i="1"/>
  <c r="Q1678" i="1"/>
  <c r="P1678" i="1"/>
  <c r="O1678" i="1"/>
  <c r="N1678" i="1"/>
  <c r="M1678" i="1"/>
  <c r="J1678" i="1"/>
  <c r="I1678" i="1"/>
  <c r="H1678" i="1"/>
  <c r="F1678" i="1"/>
  <c r="D1678" i="1"/>
  <c r="B1678" i="1"/>
  <c r="A1678" i="1"/>
  <c r="U1682" i="1"/>
  <c r="R1682" i="1"/>
  <c r="Q1682" i="1"/>
  <c r="P1682" i="1"/>
  <c r="O1682" i="1"/>
  <c r="N1682" i="1"/>
  <c r="M1682" i="1"/>
  <c r="I1682" i="1"/>
  <c r="H1682" i="1"/>
  <c r="F1682" i="1"/>
  <c r="D1682" i="1"/>
  <c r="A1682" i="1"/>
  <c r="U1756" i="1"/>
  <c r="R1756" i="1"/>
  <c r="Q1756" i="1"/>
  <c r="P1756" i="1"/>
  <c r="O1756" i="1"/>
  <c r="N1756" i="1"/>
  <c r="M1756" i="1"/>
  <c r="I1756" i="1"/>
  <c r="H1756" i="1"/>
  <c r="F1756" i="1"/>
  <c r="D1756" i="1"/>
  <c r="A1756" i="1"/>
  <c r="U1700" i="1"/>
  <c r="R1700" i="1"/>
  <c r="Q1700" i="1"/>
  <c r="P1700" i="1"/>
  <c r="O1700" i="1"/>
  <c r="N1700" i="1"/>
  <c r="M1700" i="1"/>
  <c r="I1700" i="1"/>
  <c r="H1700" i="1"/>
  <c r="F1700" i="1"/>
  <c r="D1700" i="1"/>
  <c r="B1700" i="1"/>
  <c r="A1700" i="1"/>
  <c r="U1704" i="1"/>
  <c r="R1704" i="1"/>
  <c r="Q1704" i="1"/>
  <c r="P1704" i="1"/>
  <c r="O1704" i="1"/>
  <c r="N1704" i="1"/>
  <c r="M1704" i="1"/>
  <c r="I1704" i="1"/>
  <c r="H1704" i="1"/>
  <c r="F1704" i="1"/>
  <c r="E1704" i="1"/>
  <c r="D1704" i="1"/>
  <c r="A1704" i="1"/>
  <c r="U1732" i="1"/>
  <c r="R1732" i="1"/>
  <c r="Q1732" i="1"/>
  <c r="P1732" i="1"/>
  <c r="O1732" i="1"/>
  <c r="N1732" i="1"/>
  <c r="M1732" i="1"/>
  <c r="I1732" i="1"/>
  <c r="H1732" i="1"/>
  <c r="F1732" i="1"/>
  <c r="E1732" i="1"/>
  <c r="D1732" i="1"/>
  <c r="B1732" i="1"/>
  <c r="A1732" i="1"/>
  <c r="U1731" i="1"/>
  <c r="R1731" i="1"/>
  <c r="Q1731" i="1"/>
  <c r="P1731" i="1"/>
  <c r="O1731" i="1"/>
  <c r="N1731" i="1"/>
  <c r="M1731" i="1"/>
  <c r="K1731" i="1"/>
  <c r="I1731" i="1"/>
  <c r="H1731" i="1"/>
  <c r="F1731" i="1"/>
  <c r="D1731" i="1"/>
  <c r="B1731" i="1"/>
  <c r="A1731" i="1"/>
  <c r="U1774" i="1"/>
  <c r="R1774" i="1"/>
  <c r="Q1774" i="1"/>
  <c r="P1774" i="1"/>
  <c r="O1774" i="1"/>
  <c r="N1774" i="1"/>
  <c r="M1774" i="1"/>
  <c r="I1774" i="1"/>
  <c r="H1774" i="1"/>
  <c r="F1774" i="1"/>
  <c r="D1774" i="1"/>
  <c r="B1774" i="1"/>
  <c r="A1774" i="1"/>
  <c r="U1787" i="1"/>
  <c r="R1787" i="1"/>
  <c r="Q1787" i="1"/>
  <c r="P1787" i="1"/>
  <c r="O1787" i="1"/>
  <c r="N1787" i="1"/>
  <c r="M1787" i="1"/>
  <c r="K1787" i="1"/>
  <c r="J1787" i="1"/>
  <c r="I1787" i="1"/>
  <c r="H1787" i="1"/>
  <c r="F1787" i="1"/>
  <c r="D1787" i="1"/>
  <c r="B1787" i="1"/>
  <c r="A1787" i="1"/>
  <c r="U1805" i="1"/>
  <c r="R1805" i="1"/>
  <c r="Q1805" i="1"/>
  <c r="P1805" i="1"/>
  <c r="O1805" i="1"/>
  <c r="N1805" i="1"/>
  <c r="M1805" i="1"/>
  <c r="J1805" i="1"/>
  <c r="I1805" i="1"/>
  <c r="H1805" i="1"/>
  <c r="F1805" i="1"/>
  <c r="D1805" i="1"/>
  <c r="B1805" i="1"/>
  <c r="A1805" i="1"/>
  <c r="U1807" i="1"/>
  <c r="R1807" i="1"/>
  <c r="Q1807" i="1"/>
  <c r="P1807" i="1"/>
  <c r="O1807" i="1"/>
  <c r="N1807" i="1"/>
  <c r="M1807" i="1"/>
  <c r="I1807" i="1"/>
  <c r="H1807" i="1"/>
  <c r="F1807" i="1"/>
  <c r="D1807" i="1"/>
  <c r="B1807" i="1"/>
  <c r="A1807" i="1"/>
  <c r="U1811" i="1"/>
  <c r="R1811" i="1"/>
  <c r="Q1811" i="1"/>
  <c r="P1811" i="1"/>
  <c r="O1811" i="1"/>
  <c r="N1811" i="1"/>
  <c r="M1811" i="1"/>
  <c r="I1811" i="1"/>
  <c r="H1811" i="1"/>
  <c r="F1811" i="1"/>
  <c r="D1811" i="1"/>
  <c r="A1811" i="1"/>
  <c r="U1810" i="1"/>
  <c r="R1810" i="1"/>
  <c r="Q1810" i="1"/>
  <c r="P1810" i="1"/>
  <c r="O1810" i="1"/>
  <c r="N1810" i="1"/>
  <c r="M1810" i="1"/>
  <c r="I1810" i="1"/>
  <c r="H1810" i="1"/>
  <c r="F1810" i="1"/>
  <c r="E1810" i="1"/>
  <c r="D1810" i="1"/>
  <c r="A1810" i="1"/>
  <c r="U1829" i="1"/>
  <c r="R1829" i="1"/>
  <c r="Q1829" i="1"/>
  <c r="P1829" i="1"/>
  <c r="O1829" i="1"/>
  <c r="N1829" i="1"/>
  <c r="M1829" i="1"/>
  <c r="J1829" i="1"/>
  <c r="I1829" i="1"/>
  <c r="H1829" i="1"/>
  <c r="F1829" i="1"/>
  <c r="D1829" i="1"/>
  <c r="B1829" i="1"/>
  <c r="A1829" i="1"/>
  <c r="U1834" i="1"/>
  <c r="R1834" i="1"/>
  <c r="Q1834" i="1"/>
  <c r="P1834" i="1"/>
  <c r="O1834" i="1"/>
  <c r="N1834" i="1"/>
  <c r="M1834" i="1"/>
  <c r="J1834" i="1"/>
  <c r="I1834" i="1"/>
  <c r="H1834" i="1"/>
  <c r="F1834" i="1"/>
  <c r="D1834" i="1"/>
  <c r="B1834" i="1"/>
  <c r="A1834" i="1"/>
  <c r="U1854" i="1"/>
  <c r="R1854" i="1"/>
  <c r="Q1854" i="1"/>
  <c r="P1854" i="1"/>
  <c r="O1854" i="1"/>
  <c r="N1854" i="1"/>
  <c r="M1854" i="1"/>
  <c r="K1854" i="1"/>
  <c r="J1854" i="1"/>
  <c r="I1854" i="1"/>
  <c r="H1854" i="1"/>
  <c r="F1854" i="1"/>
  <c r="D1854" i="1"/>
  <c r="B1854" i="1"/>
  <c r="A1854" i="1"/>
  <c r="U1855" i="1"/>
  <c r="R1855" i="1"/>
  <c r="Q1855" i="1"/>
  <c r="P1855" i="1"/>
  <c r="O1855" i="1"/>
  <c r="N1855" i="1"/>
  <c r="M1855" i="1"/>
  <c r="K1855" i="1"/>
  <c r="J1855" i="1"/>
  <c r="I1855" i="1"/>
  <c r="H1855" i="1"/>
  <c r="F1855" i="1"/>
  <c r="E1855" i="1"/>
  <c r="D1855" i="1"/>
  <c r="A1855" i="1"/>
  <c r="U1858" i="1"/>
  <c r="R1858" i="1"/>
  <c r="Q1858" i="1"/>
  <c r="P1858" i="1"/>
  <c r="O1858" i="1"/>
  <c r="N1858" i="1"/>
  <c r="M1858" i="1"/>
  <c r="J1858" i="1"/>
  <c r="I1858" i="1"/>
  <c r="H1858" i="1"/>
  <c r="F1858" i="1"/>
  <c r="D1858" i="1"/>
  <c r="B1858" i="1"/>
  <c r="A1858" i="1"/>
  <c r="U1889" i="1"/>
  <c r="R1889" i="1"/>
  <c r="Q1889" i="1"/>
  <c r="P1889" i="1"/>
  <c r="O1889" i="1"/>
  <c r="N1889" i="1"/>
  <c r="M1889" i="1"/>
  <c r="J1889" i="1"/>
  <c r="I1889" i="1"/>
  <c r="H1889" i="1"/>
  <c r="F1889" i="1"/>
  <c r="D1889" i="1"/>
  <c r="A1889" i="1"/>
  <c r="U1890" i="1"/>
  <c r="R1890" i="1"/>
  <c r="Q1890" i="1"/>
  <c r="P1890" i="1"/>
  <c r="O1890" i="1"/>
  <c r="N1890" i="1"/>
  <c r="M1890" i="1"/>
  <c r="J1890" i="1"/>
  <c r="I1890" i="1"/>
  <c r="H1890" i="1"/>
  <c r="F1890" i="1"/>
  <c r="D1890" i="1"/>
  <c r="B1890" i="1"/>
  <c r="A1890" i="1"/>
  <c r="U1912" i="1"/>
  <c r="R1912" i="1"/>
  <c r="Q1912" i="1"/>
  <c r="P1912" i="1"/>
  <c r="O1912" i="1"/>
  <c r="N1912" i="1"/>
  <c r="M1912" i="1"/>
  <c r="K1912" i="1"/>
  <c r="J1912" i="1"/>
  <c r="I1912" i="1"/>
  <c r="H1912" i="1"/>
  <c r="F1912" i="1"/>
  <c r="D1912" i="1"/>
  <c r="B1912" i="1"/>
  <c r="A1912" i="1"/>
  <c r="U1960" i="1"/>
  <c r="R1960" i="1"/>
  <c r="Q1960" i="1"/>
  <c r="P1960" i="1"/>
  <c r="O1960" i="1"/>
  <c r="N1960" i="1"/>
  <c r="M1960" i="1"/>
  <c r="J1960" i="1"/>
  <c r="I1960" i="1"/>
  <c r="H1960" i="1"/>
  <c r="F1960" i="1"/>
  <c r="D1960" i="1"/>
  <c r="A1960" i="1"/>
  <c r="U1971" i="1"/>
  <c r="R1971" i="1"/>
  <c r="Q1971" i="1"/>
  <c r="P1971" i="1"/>
  <c r="O1971" i="1"/>
  <c r="N1971" i="1"/>
  <c r="M1971" i="1"/>
  <c r="K1971" i="1"/>
  <c r="J1971" i="1"/>
  <c r="I1971" i="1"/>
  <c r="H1971" i="1"/>
  <c r="F1971" i="1"/>
  <c r="D1971" i="1"/>
  <c r="B1971" i="1"/>
  <c r="A1971" i="1"/>
  <c r="U1980" i="1"/>
  <c r="R1980" i="1"/>
  <c r="Q1980" i="1"/>
  <c r="P1980" i="1"/>
  <c r="O1980" i="1"/>
  <c r="N1980" i="1"/>
  <c r="M1980" i="1"/>
  <c r="K1980" i="1"/>
  <c r="J1980" i="1"/>
  <c r="I1980" i="1"/>
  <c r="H1980" i="1"/>
  <c r="F1980" i="1"/>
  <c r="D1980" i="1"/>
  <c r="B1980" i="1"/>
  <c r="A1980" i="1"/>
  <c r="U1976" i="1"/>
  <c r="R1976" i="1"/>
  <c r="Q1976" i="1"/>
  <c r="P1976" i="1"/>
  <c r="O1976" i="1"/>
  <c r="N1976" i="1"/>
  <c r="M1976" i="1"/>
  <c r="J1976" i="1"/>
  <c r="I1976" i="1"/>
  <c r="H1976" i="1"/>
  <c r="F1976" i="1"/>
  <c r="E1976" i="1"/>
  <c r="D1976" i="1"/>
  <c r="B1976" i="1"/>
  <c r="A1976" i="1"/>
  <c r="U2056" i="1"/>
  <c r="R2056" i="1"/>
  <c r="Q2056" i="1"/>
  <c r="P2056" i="1"/>
  <c r="O2056" i="1"/>
  <c r="N2056" i="1"/>
  <c r="M2056" i="1"/>
  <c r="J2056" i="1"/>
  <c r="I2056" i="1"/>
  <c r="H2056" i="1"/>
  <c r="F2056" i="1"/>
  <c r="D2056" i="1"/>
  <c r="B2056" i="1"/>
  <c r="A2056" i="1"/>
  <c r="U2013" i="1"/>
  <c r="R2013" i="1"/>
  <c r="Q2013" i="1"/>
  <c r="P2013" i="1"/>
  <c r="O2013" i="1"/>
  <c r="N2013" i="1"/>
  <c r="M2013" i="1"/>
  <c r="K2013" i="1"/>
  <c r="J2013" i="1"/>
  <c r="I2013" i="1"/>
  <c r="H2013" i="1"/>
  <c r="F2013" i="1"/>
  <c r="D2013" i="1"/>
  <c r="B2013" i="1"/>
  <c r="A2013" i="1"/>
  <c r="U2037" i="1"/>
  <c r="R2037" i="1"/>
  <c r="Q2037" i="1"/>
  <c r="P2037" i="1"/>
  <c r="O2037" i="1"/>
  <c r="N2037" i="1"/>
  <c r="M2037" i="1"/>
  <c r="J2037" i="1"/>
  <c r="I2037" i="1"/>
  <c r="H2037" i="1"/>
  <c r="F2037" i="1"/>
  <c r="D2037" i="1"/>
  <c r="B2037" i="1"/>
  <c r="A2037" i="1"/>
  <c r="U2052" i="1"/>
  <c r="R2052" i="1"/>
  <c r="Q2052" i="1"/>
  <c r="P2052" i="1"/>
  <c r="O2052" i="1"/>
  <c r="N2052" i="1"/>
  <c r="M2052" i="1"/>
  <c r="J2052" i="1"/>
  <c r="I2052" i="1"/>
  <c r="H2052" i="1"/>
  <c r="F2052" i="1"/>
  <c r="D2052" i="1"/>
  <c r="B2052" i="1"/>
  <c r="A2052" i="1"/>
  <c r="U2092" i="1"/>
  <c r="R2092" i="1"/>
  <c r="Q2092" i="1"/>
  <c r="P2092" i="1"/>
  <c r="O2092" i="1"/>
  <c r="N2092" i="1"/>
  <c r="M2092" i="1"/>
  <c r="K2092" i="1"/>
  <c r="J2092" i="1"/>
  <c r="I2092" i="1"/>
  <c r="H2092" i="1"/>
  <c r="F2092" i="1"/>
  <c r="D2092" i="1"/>
  <c r="B2092" i="1"/>
  <c r="A2092" i="1"/>
  <c r="U2101" i="1"/>
  <c r="R2101" i="1"/>
  <c r="Q2101" i="1"/>
  <c r="P2101" i="1"/>
  <c r="O2101" i="1"/>
  <c r="N2101" i="1"/>
  <c r="M2101" i="1"/>
  <c r="J2101" i="1"/>
  <c r="I2101" i="1"/>
  <c r="H2101" i="1"/>
  <c r="F2101" i="1"/>
  <c r="D2101" i="1"/>
  <c r="B2101" i="1"/>
  <c r="A2101" i="1"/>
  <c r="U2126" i="1"/>
  <c r="R2126" i="1"/>
  <c r="Q2126" i="1"/>
  <c r="P2126" i="1"/>
  <c r="O2126" i="1"/>
  <c r="N2126" i="1"/>
  <c r="M2126" i="1"/>
  <c r="J2126" i="1"/>
  <c r="I2126" i="1"/>
  <c r="H2126" i="1"/>
  <c r="F2126" i="1"/>
  <c r="D2126" i="1"/>
  <c r="B2126" i="1"/>
  <c r="A2126" i="1"/>
  <c r="U2169" i="1"/>
  <c r="R2169" i="1"/>
  <c r="Q2169" i="1"/>
  <c r="P2169" i="1"/>
  <c r="O2169" i="1"/>
  <c r="N2169" i="1"/>
  <c r="M2169" i="1"/>
  <c r="K2169" i="1"/>
  <c r="J2169" i="1"/>
  <c r="I2169" i="1"/>
  <c r="H2169" i="1"/>
  <c r="F2169" i="1"/>
  <c r="D2169" i="1"/>
  <c r="B2169" i="1"/>
  <c r="A2169" i="1"/>
  <c r="U2173" i="1"/>
  <c r="R2173" i="1"/>
  <c r="Q2173" i="1"/>
  <c r="P2173" i="1"/>
  <c r="O2173" i="1"/>
  <c r="N2173" i="1"/>
  <c r="M2173" i="1"/>
  <c r="K2173" i="1"/>
  <c r="J2173" i="1"/>
  <c r="I2173" i="1"/>
  <c r="H2173" i="1"/>
  <c r="F2173" i="1"/>
  <c r="D2173" i="1"/>
  <c r="B2173" i="1"/>
  <c r="A2173" i="1"/>
  <c r="U2922" i="1"/>
  <c r="R2922" i="1"/>
  <c r="Q2922" i="1"/>
  <c r="P2922" i="1"/>
  <c r="O2922" i="1"/>
  <c r="N2922" i="1"/>
  <c r="M2922" i="1"/>
  <c r="J2922" i="1"/>
  <c r="I2922" i="1"/>
  <c r="H2922" i="1"/>
  <c r="F2922" i="1"/>
  <c r="D2922" i="1"/>
  <c r="A2922" i="1"/>
  <c r="U3103" i="1"/>
  <c r="R3103" i="1"/>
  <c r="Q3103" i="1"/>
  <c r="P3103" i="1"/>
  <c r="O3103" i="1"/>
  <c r="N3103" i="1"/>
  <c r="M3103" i="1"/>
  <c r="K3103" i="1"/>
  <c r="J3103" i="1"/>
  <c r="I3103" i="1"/>
  <c r="H3103" i="1"/>
  <c r="F3103" i="1"/>
  <c r="D3103" i="1"/>
  <c r="B3103" i="1"/>
  <c r="A3103" i="1"/>
  <c r="U3012" i="1"/>
  <c r="R3012" i="1"/>
  <c r="Q3012" i="1"/>
  <c r="P3012" i="1"/>
  <c r="O3012" i="1"/>
  <c r="N3012" i="1"/>
  <c r="M3012" i="1"/>
  <c r="K3012" i="1"/>
  <c r="J3012" i="1"/>
  <c r="I3012" i="1"/>
  <c r="H3012" i="1"/>
  <c r="F3012" i="1"/>
  <c r="D3012" i="1"/>
  <c r="B3012" i="1"/>
  <c r="A3012" i="1"/>
  <c r="U3102" i="1"/>
  <c r="R3102" i="1"/>
  <c r="Q3102" i="1"/>
  <c r="P3102" i="1"/>
  <c r="O3102" i="1"/>
  <c r="N3102" i="1"/>
  <c r="M3102" i="1"/>
  <c r="K3102" i="1"/>
  <c r="J3102" i="1"/>
  <c r="I3102" i="1"/>
  <c r="H3102" i="1"/>
  <c r="F3102" i="1"/>
  <c r="E3102" i="1"/>
  <c r="D3102" i="1"/>
  <c r="B3102" i="1"/>
  <c r="A3102" i="1"/>
  <c r="U2354" i="1"/>
  <c r="R2354" i="1"/>
  <c r="Q2354" i="1"/>
  <c r="P2354" i="1"/>
  <c r="O2354" i="1"/>
  <c r="N2354" i="1"/>
  <c r="M2354" i="1"/>
  <c r="K2354" i="1"/>
  <c r="J2354" i="1"/>
  <c r="I2354" i="1"/>
  <c r="H2354" i="1"/>
  <c r="F2354" i="1"/>
  <c r="D2354" i="1"/>
  <c r="B2354" i="1"/>
  <c r="A2354" i="1"/>
  <c r="U2388" i="1"/>
  <c r="R2388" i="1"/>
  <c r="Q2388" i="1"/>
  <c r="P2388" i="1"/>
  <c r="O2388" i="1"/>
  <c r="N2388" i="1"/>
  <c r="M2388" i="1"/>
  <c r="K2388" i="1"/>
  <c r="J2388" i="1"/>
  <c r="I2388" i="1"/>
  <c r="H2388" i="1"/>
  <c r="F2388" i="1"/>
  <c r="D2388" i="1"/>
  <c r="B2388" i="1"/>
  <c r="A2388" i="1"/>
  <c r="U2184" i="1"/>
  <c r="R2184" i="1"/>
  <c r="Q2184" i="1"/>
  <c r="P2184" i="1"/>
  <c r="O2184" i="1"/>
  <c r="N2184" i="1"/>
  <c r="M2184" i="1"/>
  <c r="J2184" i="1"/>
  <c r="I2184" i="1"/>
  <c r="H2184" i="1"/>
  <c r="F2184" i="1"/>
  <c r="D2184" i="1"/>
  <c r="B2184" i="1"/>
  <c r="A2184" i="1"/>
  <c r="U2262" i="1"/>
  <c r="R2262" i="1"/>
  <c r="Q2262" i="1"/>
  <c r="P2262" i="1"/>
  <c r="O2262" i="1"/>
  <c r="N2262" i="1"/>
  <c r="M2262" i="1"/>
  <c r="K2262" i="1"/>
  <c r="J2262" i="1"/>
  <c r="I2262" i="1"/>
  <c r="H2262" i="1"/>
  <c r="F2262" i="1"/>
  <c r="D2262" i="1"/>
  <c r="B2262" i="1"/>
  <c r="A2262" i="1"/>
  <c r="U2698" i="1"/>
  <c r="R2698" i="1"/>
  <c r="Q2698" i="1"/>
  <c r="P2698" i="1"/>
  <c r="O2698" i="1"/>
  <c r="N2698" i="1"/>
  <c r="M2698" i="1"/>
  <c r="K2698" i="1"/>
  <c r="J2698" i="1"/>
  <c r="I2698" i="1"/>
  <c r="H2698" i="1"/>
  <c r="F2698" i="1"/>
  <c r="D2698" i="1"/>
  <c r="B2698" i="1"/>
  <c r="A2698" i="1"/>
  <c r="U2714" i="1"/>
  <c r="R2714" i="1"/>
  <c r="Q2714" i="1"/>
  <c r="P2714" i="1"/>
  <c r="O2714" i="1"/>
  <c r="N2714" i="1"/>
  <c r="M2714" i="1"/>
  <c r="K2714" i="1"/>
  <c r="J2714" i="1"/>
  <c r="I2714" i="1"/>
  <c r="H2714" i="1"/>
  <c r="F2714" i="1"/>
  <c r="D2714" i="1"/>
  <c r="B2714" i="1"/>
  <c r="A2714" i="1"/>
  <c r="U2866" i="1"/>
  <c r="R2866" i="1"/>
  <c r="Q2866" i="1"/>
  <c r="P2866" i="1"/>
  <c r="O2866" i="1"/>
  <c r="N2866" i="1"/>
  <c r="M2866" i="1"/>
  <c r="K2866" i="1"/>
  <c r="J2866" i="1"/>
  <c r="I2866" i="1"/>
  <c r="H2866" i="1"/>
  <c r="F2866" i="1"/>
  <c r="D2866" i="1"/>
  <c r="B2866" i="1"/>
  <c r="A2866" i="1"/>
  <c r="U2837" i="1"/>
  <c r="R2837" i="1"/>
  <c r="Q2837" i="1"/>
  <c r="P2837" i="1"/>
  <c r="O2837" i="1"/>
  <c r="N2837" i="1"/>
  <c r="M2837" i="1"/>
  <c r="K2837" i="1"/>
  <c r="J2837" i="1"/>
  <c r="I2837" i="1"/>
  <c r="H2837" i="1"/>
  <c r="G2837" i="1"/>
  <c r="F2837" i="1"/>
  <c r="D2837" i="1"/>
  <c r="B2837" i="1"/>
  <c r="A2837" i="1"/>
  <c r="U1945" i="1"/>
  <c r="R1945" i="1"/>
  <c r="Q1945" i="1"/>
  <c r="P1945" i="1"/>
  <c r="O1945" i="1"/>
  <c r="N1945" i="1"/>
  <c r="M1945" i="1"/>
  <c r="K1945" i="1"/>
  <c r="J1945" i="1"/>
  <c r="I1945" i="1"/>
  <c r="H1945" i="1"/>
  <c r="F1945" i="1"/>
  <c r="D1945" i="1"/>
  <c r="B1945" i="1"/>
  <c r="A1945" i="1"/>
  <c r="U2915" i="1"/>
  <c r="R2915" i="1"/>
  <c r="Q2915" i="1"/>
  <c r="P2915" i="1"/>
  <c r="O2915" i="1"/>
  <c r="N2915" i="1"/>
  <c r="M2915" i="1"/>
  <c r="K2915" i="1"/>
  <c r="J2915" i="1"/>
  <c r="I2915" i="1"/>
  <c r="H2915" i="1"/>
  <c r="F2915" i="1"/>
  <c r="D2915" i="1"/>
  <c r="B2915" i="1"/>
  <c r="A2915" i="1"/>
  <c r="U2949" i="1"/>
  <c r="R2949" i="1"/>
  <c r="Q2949" i="1"/>
  <c r="P2949" i="1"/>
  <c r="O2949" i="1"/>
  <c r="N2949" i="1"/>
  <c r="M2949" i="1"/>
  <c r="K2949" i="1"/>
  <c r="J2949" i="1"/>
  <c r="I2949" i="1"/>
  <c r="H2949" i="1"/>
  <c r="G2949" i="1"/>
  <c r="F2949" i="1"/>
  <c r="D2949" i="1"/>
  <c r="B2949" i="1"/>
  <c r="A2949" i="1"/>
  <c r="U2954" i="1"/>
  <c r="R2954" i="1"/>
  <c r="Q2954" i="1"/>
  <c r="P2954" i="1"/>
  <c r="O2954" i="1"/>
  <c r="N2954" i="1"/>
  <c r="M2954" i="1"/>
  <c r="K2954" i="1"/>
  <c r="J2954" i="1"/>
  <c r="I2954" i="1"/>
  <c r="H2954" i="1"/>
  <c r="F2954" i="1"/>
  <c r="D2954" i="1"/>
  <c r="B2954" i="1"/>
  <c r="A2954" i="1"/>
  <c r="U2969" i="1"/>
  <c r="R2969" i="1"/>
  <c r="Q2969" i="1"/>
  <c r="P2969" i="1"/>
  <c r="O2969" i="1"/>
  <c r="N2969" i="1"/>
  <c r="M2969" i="1"/>
  <c r="K2969" i="1"/>
  <c r="J2969" i="1"/>
  <c r="I2969" i="1"/>
  <c r="H2969" i="1"/>
  <c r="F2969" i="1"/>
  <c r="D2969" i="1"/>
  <c r="B2969" i="1"/>
  <c r="A2969" i="1"/>
  <c r="U2973" i="1"/>
  <c r="R2973" i="1"/>
  <c r="Q2973" i="1"/>
  <c r="P2973" i="1"/>
  <c r="O2973" i="1"/>
  <c r="N2973" i="1"/>
  <c r="M2973" i="1"/>
  <c r="K2973" i="1"/>
  <c r="J2973" i="1"/>
  <c r="I2973" i="1"/>
  <c r="H2973" i="1"/>
  <c r="F2973" i="1"/>
  <c r="E2973" i="1"/>
  <c r="D2973" i="1"/>
  <c r="B2973" i="1"/>
  <c r="A2973" i="1"/>
  <c r="U1944" i="1"/>
  <c r="R1944" i="1"/>
  <c r="Q1944" i="1"/>
  <c r="P1944" i="1"/>
  <c r="O1944" i="1"/>
  <c r="N1944" i="1"/>
  <c r="M1944" i="1"/>
  <c r="K1944" i="1"/>
  <c r="J1944" i="1"/>
  <c r="I1944" i="1"/>
  <c r="H1944" i="1"/>
  <c r="F1944" i="1"/>
  <c r="D1944" i="1"/>
  <c r="B1944" i="1"/>
  <c r="A1944" i="1"/>
  <c r="U3101" i="1"/>
  <c r="R3101" i="1"/>
  <c r="Q3101" i="1"/>
  <c r="P3101" i="1"/>
  <c r="O3101" i="1"/>
  <c r="N3101" i="1"/>
  <c r="M3101" i="1"/>
  <c r="K3101" i="1"/>
  <c r="J3101" i="1"/>
  <c r="I3101" i="1"/>
  <c r="H3101" i="1"/>
  <c r="G3101" i="1"/>
  <c r="F3101" i="1"/>
  <c r="E3101" i="1"/>
  <c r="D3101" i="1"/>
  <c r="B3101" i="1"/>
  <c r="A3101" i="1"/>
  <c r="U3039" i="1"/>
  <c r="R3039" i="1"/>
  <c r="Q3039" i="1"/>
  <c r="P3039" i="1"/>
  <c r="O3039" i="1"/>
  <c r="N3039" i="1"/>
  <c r="M3039" i="1"/>
  <c r="K3039" i="1"/>
  <c r="J3039" i="1"/>
  <c r="I3039" i="1"/>
  <c r="H3039" i="1"/>
  <c r="F3039" i="1"/>
  <c r="D3039" i="1"/>
  <c r="B3039" i="1"/>
  <c r="A3039" i="1"/>
  <c r="U3140" i="1"/>
  <c r="R3140" i="1"/>
  <c r="Q3140" i="1"/>
  <c r="P3140" i="1"/>
  <c r="O3140" i="1"/>
  <c r="N3140" i="1"/>
  <c r="M3140" i="1"/>
  <c r="K3140" i="1"/>
  <c r="J3140" i="1"/>
  <c r="I3140" i="1"/>
  <c r="H3140" i="1"/>
  <c r="F3140" i="1"/>
  <c r="D3140" i="1"/>
  <c r="B3140" i="1"/>
  <c r="A3140" i="1"/>
  <c r="U3100" i="1"/>
  <c r="R3100" i="1"/>
  <c r="Q3100" i="1"/>
  <c r="P3100" i="1"/>
  <c r="O3100" i="1"/>
  <c r="N3100" i="1"/>
  <c r="M3100" i="1"/>
  <c r="K3100" i="1"/>
  <c r="J3100" i="1"/>
  <c r="I3100" i="1"/>
  <c r="H3100" i="1"/>
  <c r="F3100" i="1"/>
  <c r="D3100" i="1"/>
  <c r="B3100" i="1"/>
  <c r="A3100" i="1"/>
  <c r="U3099" i="1"/>
  <c r="R3099" i="1"/>
  <c r="Q3099" i="1"/>
  <c r="P3099" i="1"/>
  <c r="O3099" i="1"/>
  <c r="N3099" i="1"/>
  <c r="M3099" i="1"/>
  <c r="K3099" i="1"/>
  <c r="J3099" i="1"/>
  <c r="I3099" i="1"/>
  <c r="H3099" i="1"/>
  <c r="F3099" i="1"/>
  <c r="D3099" i="1"/>
  <c r="B3099" i="1"/>
  <c r="A3099" i="1"/>
  <c r="U3077" i="1"/>
  <c r="R3077" i="1"/>
  <c r="Q3077" i="1"/>
  <c r="P3077" i="1"/>
  <c r="O3077" i="1"/>
  <c r="N3077" i="1"/>
  <c r="M3077" i="1"/>
  <c r="J3077" i="1"/>
  <c r="I3077" i="1"/>
  <c r="H3077" i="1"/>
  <c r="F3077" i="1"/>
  <c r="D3077" i="1"/>
  <c r="B3077" i="1"/>
  <c r="A3077" i="1"/>
  <c r="U3024" i="1"/>
  <c r="R3024" i="1"/>
  <c r="Q3024" i="1"/>
  <c r="P3024" i="1"/>
  <c r="O3024" i="1"/>
  <c r="N3024" i="1"/>
  <c r="M3024" i="1"/>
  <c r="K3024" i="1"/>
  <c r="J3024" i="1"/>
  <c r="I3024" i="1"/>
  <c r="H3024" i="1"/>
  <c r="F3024" i="1"/>
  <c r="D3024" i="1"/>
  <c r="B3024" i="1"/>
  <c r="A3024" i="1"/>
  <c r="U3098" i="1"/>
  <c r="R3098" i="1"/>
  <c r="Q3098" i="1"/>
  <c r="P3098" i="1"/>
  <c r="O3098" i="1"/>
  <c r="N3098" i="1"/>
  <c r="M3098" i="1"/>
  <c r="K3098" i="1"/>
  <c r="J3098" i="1"/>
  <c r="I3098" i="1"/>
  <c r="H3098" i="1"/>
  <c r="F3098" i="1"/>
  <c r="D3098" i="1"/>
  <c r="B3098" i="1"/>
  <c r="A3098" i="1"/>
  <c r="U3097" i="1"/>
  <c r="R3097" i="1"/>
  <c r="Q3097" i="1"/>
  <c r="P3097" i="1"/>
  <c r="O3097" i="1"/>
  <c r="N3097" i="1"/>
  <c r="M3097" i="1"/>
  <c r="K3097" i="1"/>
  <c r="J3097" i="1"/>
  <c r="I3097" i="1"/>
  <c r="H3097" i="1"/>
  <c r="F3097" i="1"/>
  <c r="E3097" i="1"/>
  <c r="D3097" i="1"/>
  <c r="B3097" i="1"/>
  <c r="A3097" i="1"/>
  <c r="U3096" i="1"/>
  <c r="R3096" i="1"/>
  <c r="Q3096" i="1"/>
  <c r="P3096" i="1"/>
  <c r="O3096" i="1"/>
  <c r="N3096" i="1"/>
  <c r="M3096" i="1"/>
  <c r="J3096" i="1"/>
  <c r="I3096" i="1"/>
  <c r="H3096" i="1"/>
  <c r="F3096" i="1"/>
  <c r="D3096" i="1"/>
  <c r="B3096" i="1"/>
  <c r="A3096" i="1"/>
  <c r="U2995" i="1"/>
  <c r="R2995" i="1"/>
  <c r="Q2995" i="1"/>
  <c r="P2995" i="1"/>
  <c r="O2995" i="1"/>
  <c r="N2995" i="1"/>
  <c r="M2995" i="1"/>
  <c r="K2995" i="1"/>
  <c r="J2995" i="1"/>
  <c r="I2995" i="1"/>
  <c r="H2995" i="1"/>
  <c r="F2995" i="1"/>
  <c r="D2995" i="1"/>
  <c r="B2995" i="1"/>
  <c r="A2995" i="1"/>
  <c r="U3095" i="1"/>
  <c r="R3095" i="1"/>
  <c r="Q3095" i="1"/>
  <c r="P3095" i="1"/>
  <c r="O3095" i="1"/>
  <c r="N3095" i="1"/>
  <c r="M3095" i="1"/>
  <c r="K3095" i="1"/>
  <c r="J3095" i="1"/>
  <c r="I3095" i="1"/>
  <c r="H3095" i="1"/>
  <c r="F3095" i="1"/>
  <c r="D3095" i="1"/>
  <c r="B3095" i="1"/>
  <c r="A3095" i="1"/>
  <c r="U3007" i="1"/>
  <c r="R3007" i="1"/>
  <c r="Q3007" i="1"/>
  <c r="P3007" i="1"/>
  <c r="O3007" i="1"/>
  <c r="N3007" i="1"/>
  <c r="M3007" i="1"/>
  <c r="K3007" i="1"/>
  <c r="J3007" i="1"/>
  <c r="I3007" i="1"/>
  <c r="H3007" i="1"/>
  <c r="F3007" i="1"/>
  <c r="D3007" i="1"/>
  <c r="B3007" i="1"/>
  <c r="A3007" i="1"/>
  <c r="U3094" i="1"/>
  <c r="R3094" i="1"/>
  <c r="Q3094" i="1"/>
  <c r="P3094" i="1"/>
  <c r="O3094" i="1"/>
  <c r="N3094" i="1"/>
  <c r="M3094" i="1"/>
  <c r="J3094" i="1"/>
  <c r="I3094" i="1"/>
  <c r="H3094" i="1"/>
  <c r="F3094" i="1"/>
  <c r="D3094" i="1"/>
  <c r="B3094" i="1"/>
  <c r="A3094" i="1"/>
  <c r="U3180" i="1"/>
  <c r="R3180" i="1"/>
  <c r="Q3180" i="1"/>
  <c r="P3180" i="1"/>
  <c r="O3180" i="1"/>
  <c r="N3180" i="1"/>
  <c r="M3180" i="1"/>
  <c r="K3180" i="1"/>
  <c r="J3180" i="1"/>
  <c r="I3180" i="1"/>
  <c r="H3180" i="1"/>
  <c r="F3180" i="1"/>
  <c r="D3180" i="1"/>
  <c r="B3180" i="1"/>
  <c r="A3180" i="1"/>
  <c r="U3050" i="1"/>
  <c r="R3050" i="1"/>
  <c r="Q3050" i="1"/>
  <c r="P3050" i="1"/>
  <c r="O3050" i="1"/>
  <c r="N3050" i="1"/>
  <c r="M3050" i="1"/>
  <c r="K3050" i="1"/>
  <c r="J3050" i="1"/>
  <c r="I3050" i="1"/>
  <c r="H3050" i="1"/>
  <c r="F3050" i="1"/>
  <c r="D3050" i="1"/>
  <c r="B3050" i="1"/>
  <c r="A3050" i="1"/>
  <c r="U3006" i="1"/>
  <c r="R3006" i="1"/>
  <c r="Q3006" i="1"/>
  <c r="P3006" i="1"/>
  <c r="O3006" i="1"/>
  <c r="N3006" i="1"/>
  <c r="M3006" i="1"/>
  <c r="J3006" i="1"/>
  <c r="I3006" i="1"/>
  <c r="H3006" i="1"/>
  <c r="G3006" i="1"/>
  <c r="F3006" i="1"/>
  <c r="E3006" i="1"/>
  <c r="D3006" i="1"/>
  <c r="B3006" i="1"/>
  <c r="A3006" i="1"/>
  <c r="U3093" i="1"/>
  <c r="R3093" i="1"/>
  <c r="Q3093" i="1"/>
  <c r="P3093" i="1"/>
  <c r="O3093" i="1"/>
  <c r="N3093" i="1"/>
  <c r="M3093" i="1"/>
  <c r="K3093" i="1"/>
  <c r="J3093" i="1"/>
  <c r="I3093" i="1"/>
  <c r="H3093" i="1"/>
  <c r="F3093" i="1"/>
  <c r="D3093" i="1"/>
  <c r="B3093" i="1"/>
  <c r="A3093" i="1"/>
  <c r="U3076" i="1"/>
  <c r="R3076" i="1"/>
  <c r="Q3076" i="1"/>
  <c r="P3076" i="1"/>
  <c r="O3076" i="1"/>
  <c r="N3076" i="1"/>
  <c r="M3076" i="1"/>
  <c r="J3076" i="1"/>
  <c r="I3076" i="1"/>
  <c r="H3076" i="1"/>
  <c r="F3076" i="1"/>
  <c r="D3076" i="1"/>
  <c r="B3076" i="1"/>
  <c r="A3076" i="1"/>
  <c r="U3064" i="1"/>
  <c r="R3064" i="1"/>
  <c r="Q3064" i="1"/>
  <c r="P3064" i="1"/>
  <c r="O3064" i="1"/>
  <c r="N3064" i="1"/>
  <c r="M3064" i="1"/>
  <c r="K3064" i="1"/>
  <c r="J3064" i="1"/>
  <c r="I3064" i="1"/>
  <c r="H3064" i="1"/>
  <c r="F3064" i="1"/>
  <c r="D3064" i="1"/>
  <c r="B3064" i="1"/>
  <c r="A3064" i="1"/>
  <c r="U3062" i="1"/>
  <c r="R3062" i="1"/>
  <c r="Q3062" i="1"/>
  <c r="P3062" i="1"/>
  <c r="O3062" i="1"/>
  <c r="N3062" i="1"/>
  <c r="M3062" i="1"/>
  <c r="K3062" i="1"/>
  <c r="J3062" i="1"/>
  <c r="I3062" i="1"/>
  <c r="H3062" i="1"/>
  <c r="F3062" i="1"/>
  <c r="D3062" i="1"/>
  <c r="B3062" i="1"/>
  <c r="A3062" i="1"/>
  <c r="U3092" i="1"/>
  <c r="R3092" i="1"/>
  <c r="Q3092" i="1"/>
  <c r="P3092" i="1"/>
  <c r="O3092" i="1"/>
  <c r="N3092" i="1"/>
  <c r="M3092" i="1"/>
  <c r="K3092" i="1"/>
  <c r="J3092" i="1"/>
  <c r="I3092" i="1"/>
  <c r="H3092" i="1"/>
  <c r="F3092" i="1"/>
  <c r="D3092" i="1"/>
  <c r="B3092" i="1"/>
  <c r="A3092" i="1"/>
  <c r="U3154" i="1"/>
  <c r="R3154" i="1"/>
  <c r="Q3154" i="1"/>
  <c r="P3154" i="1"/>
  <c r="O3154" i="1"/>
  <c r="N3154" i="1"/>
  <c r="M3154" i="1"/>
  <c r="K3154" i="1"/>
  <c r="J3154" i="1"/>
  <c r="I3154" i="1"/>
  <c r="H3154" i="1"/>
  <c r="F3154" i="1"/>
  <c r="D3154" i="1"/>
  <c r="B3154" i="1"/>
  <c r="A3154" i="1"/>
  <c r="U3044" i="1"/>
  <c r="R3044" i="1"/>
  <c r="Q3044" i="1"/>
  <c r="P3044" i="1"/>
  <c r="O3044" i="1"/>
  <c r="N3044" i="1"/>
  <c r="M3044" i="1"/>
  <c r="K3044" i="1"/>
  <c r="J3044" i="1"/>
  <c r="I3044" i="1"/>
  <c r="H3044" i="1"/>
  <c r="F3044" i="1"/>
  <c r="D3044" i="1"/>
  <c r="B3044" i="1"/>
  <c r="A3044" i="1"/>
  <c r="U2582" i="1"/>
  <c r="R2582" i="1"/>
  <c r="Q2582" i="1"/>
  <c r="P2582" i="1"/>
  <c r="O2582" i="1"/>
  <c r="N2582" i="1"/>
  <c r="M2582" i="1"/>
  <c r="K2582" i="1"/>
  <c r="J2582" i="1"/>
  <c r="I2582" i="1"/>
  <c r="H2582" i="1"/>
  <c r="F2582" i="1"/>
  <c r="D2582" i="1"/>
  <c r="B2582" i="1"/>
  <c r="A2582" i="1"/>
  <c r="U3134" i="1"/>
  <c r="R3134" i="1"/>
  <c r="Q3134" i="1"/>
  <c r="P3134" i="1"/>
  <c r="O3134" i="1"/>
  <c r="N3134" i="1"/>
  <c r="M3134" i="1"/>
  <c r="K3134" i="1"/>
  <c r="J3134" i="1"/>
  <c r="I3134" i="1"/>
  <c r="H3134" i="1"/>
  <c r="F3134" i="1"/>
  <c r="D3134" i="1"/>
  <c r="B3134" i="1"/>
  <c r="A3134" i="1"/>
  <c r="U8" i="1"/>
  <c r="R8" i="1"/>
  <c r="Q8" i="1"/>
  <c r="P8" i="1"/>
  <c r="O8" i="1"/>
  <c r="N8" i="1"/>
  <c r="M8" i="1"/>
  <c r="J8" i="1"/>
  <c r="I8" i="1"/>
  <c r="H8" i="1"/>
  <c r="F8" i="1"/>
  <c r="D8" i="1"/>
  <c r="B8" i="1"/>
  <c r="A8" i="1"/>
  <c r="U61" i="1"/>
  <c r="R61" i="1"/>
  <c r="Q61" i="1"/>
  <c r="P61" i="1"/>
  <c r="O61" i="1"/>
  <c r="N61" i="1"/>
  <c r="M61" i="1"/>
  <c r="J61" i="1"/>
  <c r="I61" i="1"/>
  <c r="H61" i="1"/>
  <c r="F61" i="1"/>
  <c r="D61" i="1"/>
  <c r="B61" i="1"/>
  <c r="A61" i="1"/>
  <c r="U52" i="1"/>
  <c r="R52" i="1"/>
  <c r="Q52" i="1"/>
  <c r="P52" i="1"/>
  <c r="O52" i="1"/>
  <c r="N52" i="1"/>
  <c r="M52" i="1"/>
  <c r="J52" i="1"/>
  <c r="I52" i="1"/>
  <c r="H52" i="1"/>
  <c r="F52" i="1"/>
  <c r="D52" i="1"/>
  <c r="B52" i="1"/>
  <c r="A52" i="1"/>
  <c r="U174" i="1"/>
  <c r="R174" i="1"/>
  <c r="Q174" i="1"/>
  <c r="P174" i="1"/>
  <c r="O174" i="1"/>
  <c r="N174" i="1"/>
  <c r="M174" i="1"/>
  <c r="J174" i="1"/>
  <c r="I174" i="1"/>
  <c r="H174" i="1"/>
  <c r="F174" i="1"/>
  <c r="D174" i="1"/>
  <c r="B174" i="1"/>
  <c r="A174" i="1"/>
  <c r="U237" i="1"/>
  <c r="R237" i="1"/>
  <c r="Q237" i="1"/>
  <c r="P237" i="1"/>
  <c r="O237" i="1"/>
  <c r="N237" i="1"/>
  <c r="M237" i="1"/>
  <c r="J237" i="1"/>
  <c r="I237" i="1"/>
  <c r="H237" i="1"/>
  <c r="F237" i="1"/>
  <c r="D237" i="1"/>
  <c r="B237" i="1"/>
  <c r="A237" i="1"/>
  <c r="U267" i="1"/>
  <c r="R267" i="1"/>
  <c r="Q267" i="1"/>
  <c r="P267" i="1"/>
  <c r="O267" i="1"/>
  <c r="N267" i="1"/>
  <c r="M267" i="1"/>
  <c r="J267" i="1"/>
  <c r="I267" i="1"/>
  <c r="H267" i="1"/>
  <c r="F267" i="1"/>
  <c r="D267" i="1"/>
  <c r="B267" i="1"/>
  <c r="A267" i="1"/>
  <c r="U282" i="1"/>
  <c r="R282" i="1"/>
  <c r="Q282" i="1"/>
  <c r="P282" i="1"/>
  <c r="O282" i="1"/>
  <c r="N282" i="1"/>
  <c r="M282" i="1"/>
  <c r="J282" i="1"/>
  <c r="I282" i="1"/>
  <c r="H282" i="1"/>
  <c r="F282" i="1"/>
  <c r="D282" i="1"/>
  <c r="B282" i="1"/>
  <c r="A282" i="1"/>
  <c r="U173" i="1"/>
  <c r="R173" i="1"/>
  <c r="Q173" i="1"/>
  <c r="P173" i="1"/>
  <c r="O173" i="1"/>
  <c r="N173" i="1"/>
  <c r="M173" i="1"/>
  <c r="J173" i="1"/>
  <c r="I173" i="1"/>
  <c r="H173" i="1"/>
  <c r="F173" i="1"/>
  <c r="D173" i="1"/>
  <c r="B173" i="1"/>
  <c r="A173" i="1"/>
  <c r="U287" i="1"/>
  <c r="R287" i="1"/>
  <c r="Q287" i="1"/>
  <c r="P287" i="1"/>
  <c r="O287" i="1"/>
  <c r="N287" i="1"/>
  <c r="M287" i="1"/>
  <c r="J287" i="1"/>
  <c r="I287" i="1"/>
  <c r="H287" i="1"/>
  <c r="F287" i="1"/>
  <c r="D287" i="1"/>
  <c r="B287" i="1"/>
  <c r="A287" i="1"/>
  <c r="U87" i="1"/>
  <c r="R87" i="1"/>
  <c r="Q87" i="1"/>
  <c r="P87" i="1"/>
  <c r="O87" i="1"/>
  <c r="N87" i="1"/>
  <c r="M87" i="1"/>
  <c r="J87" i="1"/>
  <c r="I87" i="1"/>
  <c r="H87" i="1"/>
  <c r="F87" i="1"/>
  <c r="D87" i="1"/>
  <c r="B87" i="1"/>
  <c r="A87" i="1"/>
  <c r="U342" i="1"/>
  <c r="R342" i="1"/>
  <c r="Q342" i="1"/>
  <c r="P342" i="1"/>
  <c r="O342" i="1"/>
  <c r="N342" i="1"/>
  <c r="M342" i="1"/>
  <c r="J342" i="1"/>
  <c r="I342" i="1"/>
  <c r="H342" i="1"/>
  <c r="F342" i="1"/>
  <c r="D342" i="1"/>
  <c r="B342" i="1"/>
  <c r="A342" i="1"/>
  <c r="U341" i="1"/>
  <c r="R341" i="1"/>
  <c r="Q341" i="1"/>
  <c r="P341" i="1"/>
  <c r="O341" i="1"/>
  <c r="N341" i="1"/>
  <c r="M341" i="1"/>
  <c r="J341" i="1"/>
  <c r="I341" i="1"/>
  <c r="H341" i="1"/>
  <c r="F341" i="1"/>
  <c r="D341" i="1"/>
  <c r="B341" i="1"/>
  <c r="A341" i="1"/>
  <c r="U329" i="1"/>
  <c r="R329" i="1"/>
  <c r="Q329" i="1"/>
  <c r="P329" i="1"/>
  <c r="O329" i="1"/>
  <c r="N329" i="1"/>
  <c r="M329" i="1"/>
  <c r="J329" i="1"/>
  <c r="I329" i="1"/>
  <c r="H329" i="1"/>
  <c r="F329" i="1"/>
  <c r="D329" i="1"/>
  <c r="B329" i="1"/>
  <c r="A329" i="1"/>
  <c r="U325" i="1"/>
  <c r="R325" i="1"/>
  <c r="Q325" i="1"/>
  <c r="P325" i="1"/>
  <c r="O325" i="1"/>
  <c r="N325" i="1"/>
  <c r="M325" i="1"/>
  <c r="J325" i="1"/>
  <c r="I325" i="1"/>
  <c r="H325" i="1"/>
  <c r="F325" i="1"/>
  <c r="D325" i="1"/>
  <c r="B325" i="1"/>
  <c r="A325" i="1"/>
  <c r="U336" i="1"/>
  <c r="R336" i="1"/>
  <c r="Q336" i="1"/>
  <c r="P336" i="1"/>
  <c r="O336" i="1"/>
  <c r="N336" i="1"/>
  <c r="M336" i="1"/>
  <c r="J336" i="1"/>
  <c r="I336" i="1"/>
  <c r="H336" i="1"/>
  <c r="F336" i="1"/>
  <c r="D336" i="1"/>
  <c r="B336" i="1"/>
  <c r="A336" i="1"/>
  <c r="U356" i="1"/>
  <c r="R356" i="1"/>
  <c r="Q356" i="1"/>
  <c r="P356" i="1"/>
  <c r="O356" i="1"/>
  <c r="N356" i="1"/>
  <c r="M356" i="1"/>
  <c r="I356" i="1"/>
  <c r="H356" i="1"/>
  <c r="F356" i="1"/>
  <c r="D356" i="1"/>
  <c r="B356" i="1"/>
  <c r="A356" i="1"/>
  <c r="U385" i="1"/>
  <c r="R385" i="1"/>
  <c r="Q385" i="1"/>
  <c r="P385" i="1"/>
  <c r="O385" i="1"/>
  <c r="N385" i="1"/>
  <c r="M385" i="1"/>
  <c r="I385" i="1"/>
  <c r="H385" i="1"/>
  <c r="G385" i="1"/>
  <c r="F385" i="1"/>
  <c r="D385" i="1"/>
  <c r="B385" i="1"/>
  <c r="A385" i="1"/>
  <c r="U392" i="1"/>
  <c r="R392" i="1"/>
  <c r="Q392" i="1"/>
  <c r="P392" i="1"/>
  <c r="O392" i="1"/>
  <c r="N392" i="1"/>
  <c r="M392" i="1"/>
  <c r="J392" i="1"/>
  <c r="I392" i="1"/>
  <c r="H392" i="1"/>
  <c r="F392" i="1"/>
  <c r="D392" i="1"/>
  <c r="B392" i="1"/>
  <c r="A392" i="1"/>
  <c r="U376" i="1"/>
  <c r="R376" i="1"/>
  <c r="Q376" i="1"/>
  <c r="P376" i="1"/>
  <c r="O376" i="1"/>
  <c r="N376" i="1"/>
  <c r="M376" i="1"/>
  <c r="J376" i="1"/>
  <c r="I376" i="1"/>
  <c r="H376" i="1"/>
  <c r="F376" i="1"/>
  <c r="D376" i="1"/>
  <c r="B376" i="1"/>
  <c r="A376" i="1"/>
  <c r="U407" i="1"/>
  <c r="R407" i="1"/>
  <c r="Q407" i="1"/>
  <c r="P407" i="1"/>
  <c r="O407" i="1"/>
  <c r="N407" i="1"/>
  <c r="M407" i="1"/>
  <c r="J407" i="1"/>
  <c r="I407" i="1"/>
  <c r="H407" i="1"/>
  <c r="F407" i="1"/>
  <c r="D407" i="1"/>
  <c r="B407" i="1"/>
  <c r="A407" i="1"/>
  <c r="U362" i="1"/>
  <c r="R362" i="1"/>
  <c r="Q362" i="1"/>
  <c r="P362" i="1"/>
  <c r="O362" i="1"/>
  <c r="N362" i="1"/>
  <c r="M362" i="1"/>
  <c r="J362" i="1"/>
  <c r="I362" i="1"/>
  <c r="H362" i="1"/>
  <c r="F362" i="1"/>
  <c r="D362" i="1"/>
  <c r="B362" i="1"/>
  <c r="A362" i="1"/>
  <c r="U473" i="1"/>
  <c r="R473" i="1"/>
  <c r="Q473" i="1"/>
  <c r="P473" i="1"/>
  <c r="O473" i="1"/>
  <c r="N473" i="1"/>
  <c r="M473" i="1"/>
  <c r="J473" i="1"/>
  <c r="I473" i="1"/>
  <c r="H473" i="1"/>
  <c r="F473" i="1"/>
  <c r="D473" i="1"/>
  <c r="B473" i="1"/>
  <c r="A473" i="1"/>
  <c r="U472" i="1"/>
  <c r="R472" i="1"/>
  <c r="Q472" i="1"/>
  <c r="P472" i="1"/>
  <c r="O472" i="1"/>
  <c r="N472" i="1"/>
  <c r="M472" i="1"/>
  <c r="I472" i="1"/>
  <c r="H472" i="1"/>
  <c r="F472" i="1"/>
  <c r="D472" i="1"/>
  <c r="B472" i="1"/>
  <c r="A472" i="1"/>
  <c r="U490" i="1"/>
  <c r="R490" i="1"/>
  <c r="Q490" i="1"/>
  <c r="P490" i="1"/>
  <c r="O490" i="1"/>
  <c r="N490" i="1"/>
  <c r="M490" i="1"/>
  <c r="J490" i="1"/>
  <c r="I490" i="1"/>
  <c r="H490" i="1"/>
  <c r="F490" i="1"/>
  <c r="D490" i="1"/>
  <c r="B490" i="1"/>
  <c r="A490" i="1"/>
  <c r="U202" i="1"/>
  <c r="R202" i="1"/>
  <c r="Q202" i="1"/>
  <c r="P202" i="1"/>
  <c r="O202" i="1"/>
  <c r="N202" i="1"/>
  <c r="M202" i="1"/>
  <c r="J202" i="1"/>
  <c r="I202" i="1"/>
  <c r="H202" i="1"/>
  <c r="F202" i="1"/>
  <c r="D202" i="1"/>
  <c r="B202" i="1"/>
  <c r="A202" i="1"/>
  <c r="U482" i="1"/>
  <c r="R482" i="1"/>
  <c r="Q482" i="1"/>
  <c r="P482" i="1"/>
  <c r="O482" i="1"/>
  <c r="N482" i="1"/>
  <c r="M482" i="1"/>
  <c r="I482" i="1"/>
  <c r="H482" i="1"/>
  <c r="F482" i="1"/>
  <c r="D482" i="1"/>
  <c r="B482" i="1"/>
  <c r="A482" i="1"/>
  <c r="U485" i="1"/>
  <c r="R485" i="1"/>
  <c r="Q485" i="1"/>
  <c r="P485" i="1"/>
  <c r="O485" i="1"/>
  <c r="N485" i="1"/>
  <c r="M485" i="1"/>
  <c r="I485" i="1"/>
  <c r="H485" i="1"/>
  <c r="F485" i="1"/>
  <c r="D485" i="1"/>
  <c r="B485" i="1"/>
  <c r="A485" i="1"/>
  <c r="U520" i="1"/>
  <c r="R520" i="1"/>
  <c r="Q520" i="1"/>
  <c r="P520" i="1"/>
  <c r="O520" i="1"/>
  <c r="N520" i="1"/>
  <c r="M520" i="1"/>
  <c r="J520" i="1"/>
  <c r="I520" i="1"/>
  <c r="H520" i="1"/>
  <c r="F520" i="1"/>
  <c r="D520" i="1"/>
  <c r="B520" i="1"/>
  <c r="A520" i="1"/>
  <c r="U176" i="1"/>
  <c r="R176" i="1"/>
  <c r="Q176" i="1"/>
  <c r="P176" i="1"/>
  <c r="O176" i="1"/>
  <c r="N176" i="1"/>
  <c r="M176" i="1"/>
  <c r="J176" i="1"/>
  <c r="I176" i="1"/>
  <c r="H176" i="1"/>
  <c r="F176" i="1"/>
  <c r="D176" i="1"/>
  <c r="B176" i="1"/>
  <c r="A176" i="1"/>
  <c r="U241" i="1"/>
  <c r="R241" i="1"/>
  <c r="Q241" i="1"/>
  <c r="P241" i="1"/>
  <c r="O241" i="1"/>
  <c r="N241" i="1"/>
  <c r="M241" i="1"/>
  <c r="J241" i="1"/>
  <c r="I241" i="1"/>
  <c r="H241" i="1"/>
  <c r="F241" i="1"/>
  <c r="D241" i="1"/>
  <c r="B241" i="1"/>
  <c r="A241" i="1"/>
  <c r="U436" i="1"/>
  <c r="R436" i="1"/>
  <c r="Q436" i="1"/>
  <c r="P436" i="1"/>
  <c r="O436" i="1"/>
  <c r="N436" i="1"/>
  <c r="M436" i="1"/>
  <c r="J436" i="1"/>
  <c r="I436" i="1"/>
  <c r="H436" i="1"/>
  <c r="F436" i="1"/>
  <c r="D436" i="1"/>
  <c r="B436" i="1"/>
  <c r="A436" i="1"/>
  <c r="U586" i="1"/>
  <c r="R586" i="1"/>
  <c r="Q586" i="1"/>
  <c r="P586" i="1"/>
  <c r="O586" i="1"/>
  <c r="N586" i="1"/>
  <c r="M586" i="1"/>
  <c r="I586" i="1"/>
  <c r="H586" i="1"/>
  <c r="F586" i="1"/>
  <c r="D586" i="1"/>
  <c r="B586" i="1"/>
  <c r="A586" i="1"/>
  <c r="U553" i="1"/>
  <c r="R553" i="1"/>
  <c r="Q553" i="1"/>
  <c r="P553" i="1"/>
  <c r="O553" i="1"/>
  <c r="N553" i="1"/>
  <c r="M553" i="1"/>
  <c r="J553" i="1"/>
  <c r="I553" i="1"/>
  <c r="H553" i="1"/>
  <c r="G553" i="1"/>
  <c r="F553" i="1"/>
  <c r="D553" i="1"/>
  <c r="B553" i="1"/>
  <c r="A553" i="1"/>
  <c r="U643" i="1"/>
  <c r="R643" i="1"/>
  <c r="Q643" i="1"/>
  <c r="P643" i="1"/>
  <c r="O643" i="1"/>
  <c r="N643" i="1"/>
  <c r="M643" i="1"/>
  <c r="J643" i="1"/>
  <c r="I643" i="1"/>
  <c r="H643" i="1"/>
  <c r="F643" i="1"/>
  <c r="D643" i="1"/>
  <c r="B643" i="1"/>
  <c r="A643" i="1"/>
  <c r="U543" i="1"/>
  <c r="R543" i="1"/>
  <c r="Q543" i="1"/>
  <c r="P543" i="1"/>
  <c r="O543" i="1"/>
  <c r="N543" i="1"/>
  <c r="M543" i="1"/>
  <c r="J543" i="1"/>
  <c r="I543" i="1"/>
  <c r="H543" i="1"/>
  <c r="F543" i="1"/>
  <c r="D543" i="1"/>
  <c r="B543" i="1"/>
  <c r="A543" i="1"/>
  <c r="U689" i="1"/>
  <c r="R689" i="1"/>
  <c r="Q689" i="1"/>
  <c r="P689" i="1"/>
  <c r="O689" i="1"/>
  <c r="N689" i="1"/>
  <c r="M689" i="1"/>
  <c r="J689" i="1"/>
  <c r="I689" i="1"/>
  <c r="H689" i="1"/>
  <c r="F689" i="1"/>
  <c r="D689" i="1"/>
  <c r="B689" i="1"/>
  <c r="A689" i="1"/>
  <c r="U667" i="1"/>
  <c r="R667" i="1"/>
  <c r="Q667" i="1"/>
  <c r="P667" i="1"/>
  <c r="O667" i="1"/>
  <c r="N667" i="1"/>
  <c r="M667" i="1"/>
  <c r="J667" i="1"/>
  <c r="I667" i="1"/>
  <c r="H667" i="1"/>
  <c r="F667" i="1"/>
  <c r="D667" i="1"/>
  <c r="B667" i="1"/>
  <c r="A667" i="1"/>
  <c r="U626" i="1"/>
  <c r="R626" i="1"/>
  <c r="Q626" i="1"/>
  <c r="P626" i="1"/>
  <c r="O626" i="1"/>
  <c r="N626" i="1"/>
  <c r="M626" i="1"/>
  <c r="J626" i="1"/>
  <c r="I626" i="1"/>
  <c r="H626" i="1"/>
  <c r="F626" i="1"/>
  <c r="D626" i="1"/>
  <c r="B626" i="1"/>
  <c r="A626" i="1"/>
  <c r="U661" i="1"/>
  <c r="R661" i="1"/>
  <c r="Q661" i="1"/>
  <c r="P661" i="1"/>
  <c r="O661" i="1"/>
  <c r="N661" i="1"/>
  <c r="M661" i="1"/>
  <c r="I661" i="1"/>
  <c r="H661" i="1"/>
  <c r="F661" i="1"/>
  <c r="E661" i="1"/>
  <c r="D661" i="1"/>
  <c r="B661" i="1"/>
  <c r="A661" i="1"/>
  <c r="U645" i="1"/>
  <c r="R645" i="1"/>
  <c r="Q645" i="1"/>
  <c r="P645" i="1"/>
  <c r="O645" i="1"/>
  <c r="N645" i="1"/>
  <c r="M645" i="1"/>
  <c r="I645" i="1"/>
  <c r="H645" i="1"/>
  <c r="F645" i="1"/>
  <c r="D645" i="1"/>
  <c r="B645" i="1"/>
  <c r="A645" i="1"/>
  <c r="U634" i="1"/>
  <c r="R634" i="1"/>
  <c r="Q634" i="1"/>
  <c r="P634" i="1"/>
  <c r="O634" i="1"/>
  <c r="N634" i="1"/>
  <c r="M634" i="1"/>
  <c r="J634" i="1"/>
  <c r="I634" i="1"/>
  <c r="H634" i="1"/>
  <c r="F634" i="1"/>
  <c r="D634" i="1"/>
  <c r="B634" i="1"/>
  <c r="A634" i="1"/>
  <c r="U708" i="1"/>
  <c r="R708" i="1"/>
  <c r="Q708" i="1"/>
  <c r="P708" i="1"/>
  <c r="O708" i="1"/>
  <c r="N708" i="1"/>
  <c r="M708" i="1"/>
  <c r="J708" i="1"/>
  <c r="I708" i="1"/>
  <c r="H708" i="1"/>
  <c r="F708" i="1"/>
  <c r="D708" i="1"/>
  <c r="B708" i="1"/>
  <c r="A708" i="1"/>
  <c r="U625" i="1"/>
  <c r="R625" i="1"/>
  <c r="Q625" i="1"/>
  <c r="P625" i="1"/>
  <c r="O625" i="1"/>
  <c r="N625" i="1"/>
  <c r="M625" i="1"/>
  <c r="J625" i="1"/>
  <c r="I625" i="1"/>
  <c r="H625" i="1"/>
  <c r="F625" i="1"/>
  <c r="D625" i="1"/>
  <c r="B625" i="1"/>
  <c r="A625" i="1"/>
  <c r="U391" i="1"/>
  <c r="R391" i="1"/>
  <c r="Q391" i="1"/>
  <c r="P391" i="1"/>
  <c r="O391" i="1"/>
  <c r="N391" i="1"/>
  <c r="M391" i="1"/>
  <c r="J391" i="1"/>
  <c r="I391" i="1"/>
  <c r="H391" i="1"/>
  <c r="F391" i="1"/>
  <c r="D391" i="1"/>
  <c r="B391" i="1"/>
  <c r="A391" i="1"/>
  <c r="U762" i="1"/>
  <c r="R762" i="1"/>
  <c r="Q762" i="1"/>
  <c r="P762" i="1"/>
  <c r="O762" i="1"/>
  <c r="N762" i="1"/>
  <c r="M762" i="1"/>
  <c r="J762" i="1"/>
  <c r="I762" i="1"/>
  <c r="H762" i="1"/>
  <c r="F762" i="1"/>
  <c r="D762" i="1"/>
  <c r="B762" i="1"/>
  <c r="A762" i="1"/>
  <c r="U702" i="1"/>
  <c r="R702" i="1"/>
  <c r="Q702" i="1"/>
  <c r="P702" i="1"/>
  <c r="O702" i="1"/>
  <c r="N702" i="1"/>
  <c r="M702" i="1"/>
  <c r="J702" i="1"/>
  <c r="I702" i="1"/>
  <c r="H702" i="1"/>
  <c r="F702" i="1"/>
  <c r="E702" i="1"/>
  <c r="D702" i="1"/>
  <c r="B702" i="1"/>
  <c r="A702" i="1"/>
  <c r="U777" i="1"/>
  <c r="R777" i="1"/>
  <c r="Q777" i="1"/>
  <c r="P777" i="1"/>
  <c r="O777" i="1"/>
  <c r="N777" i="1"/>
  <c r="M777" i="1"/>
  <c r="J777" i="1"/>
  <c r="I777" i="1"/>
  <c r="H777" i="1"/>
  <c r="F777" i="1"/>
  <c r="D777" i="1"/>
  <c r="B777" i="1"/>
  <c r="A777" i="1"/>
  <c r="U756" i="1"/>
  <c r="R756" i="1"/>
  <c r="Q756" i="1"/>
  <c r="P756" i="1"/>
  <c r="O756" i="1"/>
  <c r="N756" i="1"/>
  <c r="M756" i="1"/>
  <c r="J756" i="1"/>
  <c r="I756" i="1"/>
  <c r="H756" i="1"/>
  <c r="F756" i="1"/>
  <c r="D756" i="1"/>
  <c r="B756" i="1"/>
  <c r="A756" i="1"/>
  <c r="U805" i="1"/>
  <c r="R805" i="1"/>
  <c r="Q805" i="1"/>
  <c r="P805" i="1"/>
  <c r="O805" i="1"/>
  <c r="N805" i="1"/>
  <c r="M805" i="1"/>
  <c r="J805" i="1"/>
  <c r="I805" i="1"/>
  <c r="H805" i="1"/>
  <c r="F805" i="1"/>
  <c r="D805" i="1"/>
  <c r="B805" i="1"/>
  <c r="A805" i="1"/>
  <c r="U495" i="1"/>
  <c r="R495" i="1"/>
  <c r="Q495" i="1"/>
  <c r="P495" i="1"/>
  <c r="O495" i="1"/>
  <c r="N495" i="1"/>
  <c r="M495" i="1"/>
  <c r="J495" i="1"/>
  <c r="I495" i="1"/>
  <c r="H495" i="1"/>
  <c r="F495" i="1"/>
  <c r="D495" i="1"/>
  <c r="B495" i="1"/>
  <c r="A495" i="1"/>
  <c r="U831" i="1"/>
  <c r="R831" i="1"/>
  <c r="Q831" i="1"/>
  <c r="P831" i="1"/>
  <c r="O831" i="1"/>
  <c r="N831" i="1"/>
  <c r="M831" i="1"/>
  <c r="J831" i="1"/>
  <c r="I831" i="1"/>
  <c r="H831" i="1"/>
  <c r="F831" i="1"/>
  <c r="D831" i="1"/>
  <c r="B831" i="1"/>
  <c r="A831" i="1"/>
  <c r="U729" i="1"/>
  <c r="R729" i="1"/>
  <c r="Q729" i="1"/>
  <c r="P729" i="1"/>
  <c r="O729" i="1"/>
  <c r="N729" i="1"/>
  <c r="M729" i="1"/>
  <c r="J729" i="1"/>
  <c r="I729" i="1"/>
  <c r="H729" i="1"/>
  <c r="F729" i="1"/>
  <c r="D729" i="1"/>
  <c r="B729" i="1"/>
  <c r="A729" i="1"/>
  <c r="U830" i="1"/>
  <c r="R830" i="1"/>
  <c r="Q830" i="1"/>
  <c r="P830" i="1"/>
  <c r="O830" i="1"/>
  <c r="N830" i="1"/>
  <c r="M830" i="1"/>
  <c r="J830" i="1"/>
  <c r="I830" i="1"/>
  <c r="H830" i="1"/>
  <c r="F830" i="1"/>
  <c r="E830" i="1"/>
  <c r="D830" i="1"/>
  <c r="B830" i="1"/>
  <c r="A830" i="1"/>
  <c r="U829" i="1"/>
  <c r="R829" i="1"/>
  <c r="Q829" i="1"/>
  <c r="P829" i="1"/>
  <c r="O829" i="1"/>
  <c r="N829" i="1"/>
  <c r="M829" i="1"/>
  <c r="J829" i="1"/>
  <c r="I829" i="1"/>
  <c r="H829" i="1"/>
  <c r="F829" i="1"/>
  <c r="D829" i="1"/>
  <c r="B829" i="1"/>
  <c r="A829" i="1"/>
  <c r="U800" i="1"/>
  <c r="R800" i="1"/>
  <c r="Q800" i="1"/>
  <c r="P800" i="1"/>
  <c r="O800" i="1"/>
  <c r="N800" i="1"/>
  <c r="M800" i="1"/>
  <c r="J800" i="1"/>
  <c r="I800" i="1"/>
  <c r="H800" i="1"/>
  <c r="F800" i="1"/>
  <c r="E800" i="1"/>
  <c r="D800" i="1"/>
  <c r="B800" i="1"/>
  <c r="A800" i="1"/>
  <c r="U860" i="1"/>
  <c r="R860" i="1"/>
  <c r="Q860" i="1"/>
  <c r="P860" i="1"/>
  <c r="O860" i="1"/>
  <c r="N860" i="1"/>
  <c r="M860" i="1"/>
  <c r="J860" i="1"/>
  <c r="I860" i="1"/>
  <c r="H860" i="1"/>
  <c r="F860" i="1"/>
  <c r="E860" i="1"/>
  <c r="D860" i="1"/>
  <c r="B860" i="1"/>
  <c r="A860" i="1"/>
  <c r="U842" i="1"/>
  <c r="R842" i="1"/>
  <c r="Q842" i="1"/>
  <c r="P842" i="1"/>
  <c r="O842" i="1"/>
  <c r="N842" i="1"/>
  <c r="M842" i="1"/>
  <c r="J842" i="1"/>
  <c r="I842" i="1"/>
  <c r="H842" i="1"/>
  <c r="F842" i="1"/>
  <c r="D842" i="1"/>
  <c r="B842" i="1"/>
  <c r="A842" i="1"/>
  <c r="U828" i="1"/>
  <c r="R828" i="1"/>
  <c r="Q828" i="1"/>
  <c r="P828" i="1"/>
  <c r="O828" i="1"/>
  <c r="N828" i="1"/>
  <c r="M828" i="1"/>
  <c r="J828" i="1"/>
  <c r="I828" i="1"/>
  <c r="H828" i="1"/>
  <c r="F828" i="1"/>
  <c r="D828" i="1"/>
  <c r="B828" i="1"/>
  <c r="A828" i="1"/>
  <c r="U670" i="1"/>
  <c r="R670" i="1"/>
  <c r="Q670" i="1"/>
  <c r="P670" i="1"/>
  <c r="O670" i="1"/>
  <c r="N670" i="1"/>
  <c r="M670" i="1"/>
  <c r="I670" i="1"/>
  <c r="H670" i="1"/>
  <c r="F670" i="1"/>
  <c r="D670" i="1"/>
  <c r="B670" i="1"/>
  <c r="A670" i="1"/>
  <c r="U577" i="1"/>
  <c r="R577" i="1"/>
  <c r="Q577" i="1"/>
  <c r="P577" i="1"/>
  <c r="O577" i="1"/>
  <c r="N577" i="1"/>
  <c r="M577" i="1"/>
  <c r="J577" i="1"/>
  <c r="I577" i="1"/>
  <c r="H577" i="1"/>
  <c r="F577" i="1"/>
  <c r="D577" i="1"/>
  <c r="B577" i="1"/>
  <c r="A577" i="1"/>
  <c r="U876" i="1"/>
  <c r="R876" i="1"/>
  <c r="Q876" i="1"/>
  <c r="P876" i="1"/>
  <c r="O876" i="1"/>
  <c r="N876" i="1"/>
  <c r="M876" i="1"/>
  <c r="J876" i="1"/>
  <c r="I876" i="1"/>
  <c r="H876" i="1"/>
  <c r="F876" i="1"/>
  <c r="D876" i="1"/>
  <c r="B876" i="1"/>
  <c r="A876" i="1"/>
  <c r="U856" i="1"/>
  <c r="R856" i="1"/>
  <c r="Q856" i="1"/>
  <c r="P856" i="1"/>
  <c r="O856" i="1"/>
  <c r="N856" i="1"/>
  <c r="M856" i="1"/>
  <c r="J856" i="1"/>
  <c r="I856" i="1"/>
  <c r="H856" i="1"/>
  <c r="F856" i="1"/>
  <c r="D856" i="1"/>
  <c r="B856" i="1"/>
  <c r="A856" i="1"/>
  <c r="U867" i="1"/>
  <c r="R867" i="1"/>
  <c r="Q867" i="1"/>
  <c r="P867" i="1"/>
  <c r="O867" i="1"/>
  <c r="N867" i="1"/>
  <c r="M867" i="1"/>
  <c r="J867" i="1"/>
  <c r="I867" i="1"/>
  <c r="H867" i="1"/>
  <c r="F867" i="1"/>
  <c r="D867" i="1"/>
  <c r="B867" i="1"/>
  <c r="A867" i="1"/>
  <c r="U961" i="1"/>
  <c r="R961" i="1"/>
  <c r="Q961" i="1"/>
  <c r="P961" i="1"/>
  <c r="O961" i="1"/>
  <c r="N961" i="1"/>
  <c r="M961" i="1"/>
  <c r="J961" i="1"/>
  <c r="I961" i="1"/>
  <c r="H961" i="1"/>
  <c r="F961" i="1"/>
  <c r="D961" i="1"/>
  <c r="B961" i="1"/>
  <c r="A961" i="1"/>
  <c r="U908" i="1"/>
  <c r="R908" i="1"/>
  <c r="Q908" i="1"/>
  <c r="P908" i="1"/>
  <c r="O908" i="1"/>
  <c r="N908" i="1"/>
  <c r="M908" i="1"/>
  <c r="J908" i="1"/>
  <c r="I908" i="1"/>
  <c r="H908" i="1"/>
  <c r="F908" i="1"/>
  <c r="D908" i="1"/>
  <c r="B908" i="1"/>
  <c r="A908" i="1"/>
  <c r="U181" i="1"/>
  <c r="R181" i="1"/>
  <c r="Q181" i="1"/>
  <c r="P181" i="1"/>
  <c r="O181" i="1"/>
  <c r="N181" i="1"/>
  <c r="M181" i="1"/>
  <c r="J181" i="1"/>
  <c r="I181" i="1"/>
  <c r="H181" i="1"/>
  <c r="F181" i="1"/>
  <c r="E181" i="1"/>
  <c r="D181" i="1"/>
  <c r="A181" i="1"/>
  <c r="U1000" i="1"/>
  <c r="R1000" i="1"/>
  <c r="Q1000" i="1"/>
  <c r="P1000" i="1"/>
  <c r="O1000" i="1"/>
  <c r="N1000" i="1"/>
  <c r="M1000" i="1"/>
  <c r="I1000" i="1"/>
  <c r="H1000" i="1"/>
  <c r="G1000" i="1"/>
  <c r="F1000" i="1"/>
  <c r="D1000" i="1"/>
  <c r="B1000" i="1"/>
  <c r="A1000" i="1"/>
  <c r="U1008" i="1"/>
  <c r="R1008" i="1"/>
  <c r="Q1008" i="1"/>
  <c r="P1008" i="1"/>
  <c r="O1008" i="1"/>
  <c r="N1008" i="1"/>
  <c r="M1008" i="1"/>
  <c r="J1008" i="1"/>
  <c r="I1008" i="1"/>
  <c r="H1008" i="1"/>
  <c r="F1008" i="1"/>
  <c r="D1008" i="1"/>
  <c r="B1008" i="1"/>
  <c r="A1008" i="1"/>
  <c r="U1049" i="1"/>
  <c r="R1049" i="1"/>
  <c r="Q1049" i="1"/>
  <c r="P1049" i="1"/>
  <c r="O1049" i="1"/>
  <c r="N1049" i="1"/>
  <c r="M1049" i="1"/>
  <c r="I1049" i="1"/>
  <c r="H1049" i="1"/>
  <c r="F1049" i="1"/>
  <c r="D1049" i="1"/>
  <c r="B1049" i="1"/>
  <c r="A1049" i="1"/>
  <c r="U1096" i="1"/>
  <c r="R1096" i="1"/>
  <c r="Q1096" i="1"/>
  <c r="P1096" i="1"/>
  <c r="O1096" i="1"/>
  <c r="N1096" i="1"/>
  <c r="M1096" i="1"/>
  <c r="J1096" i="1"/>
  <c r="I1096" i="1"/>
  <c r="H1096" i="1"/>
  <c r="F1096" i="1"/>
  <c r="D1096" i="1"/>
  <c r="B1096" i="1"/>
  <c r="A1096" i="1"/>
  <c r="U1079" i="1"/>
  <c r="R1079" i="1"/>
  <c r="Q1079" i="1"/>
  <c r="P1079" i="1"/>
  <c r="O1079" i="1"/>
  <c r="N1079" i="1"/>
  <c r="M1079" i="1"/>
  <c r="J1079" i="1"/>
  <c r="I1079" i="1"/>
  <c r="H1079" i="1"/>
  <c r="F1079" i="1"/>
  <c r="D1079" i="1"/>
  <c r="B1079" i="1"/>
  <c r="A1079" i="1"/>
  <c r="U1053" i="1"/>
  <c r="R1053" i="1"/>
  <c r="Q1053" i="1"/>
  <c r="P1053" i="1"/>
  <c r="O1053" i="1"/>
  <c r="N1053" i="1"/>
  <c r="M1053" i="1"/>
  <c r="J1053" i="1"/>
  <c r="I1053" i="1"/>
  <c r="H1053" i="1"/>
  <c r="F1053" i="1"/>
  <c r="D1053" i="1"/>
  <c r="B1053" i="1"/>
  <c r="A1053" i="1"/>
  <c r="U1078" i="1"/>
  <c r="R1078" i="1"/>
  <c r="Q1078" i="1"/>
  <c r="P1078" i="1"/>
  <c r="O1078" i="1"/>
  <c r="N1078" i="1"/>
  <c r="M1078" i="1"/>
  <c r="J1078" i="1"/>
  <c r="I1078" i="1"/>
  <c r="H1078" i="1"/>
  <c r="F1078" i="1"/>
  <c r="E1078" i="1"/>
  <c r="D1078" i="1"/>
  <c r="B1078" i="1"/>
  <c r="A1078" i="1"/>
  <c r="U1077" i="1"/>
  <c r="R1077" i="1"/>
  <c r="Q1077" i="1"/>
  <c r="P1077" i="1"/>
  <c r="O1077" i="1"/>
  <c r="N1077" i="1"/>
  <c r="M1077" i="1"/>
  <c r="I1077" i="1"/>
  <c r="H1077" i="1"/>
  <c r="F1077" i="1"/>
  <c r="D1077" i="1"/>
  <c r="B1077" i="1"/>
  <c r="A1077" i="1"/>
  <c r="U150" i="1"/>
  <c r="R150" i="1"/>
  <c r="Q150" i="1"/>
  <c r="P150" i="1"/>
  <c r="O150" i="1"/>
  <c r="N150" i="1"/>
  <c r="M150" i="1"/>
  <c r="I150" i="1"/>
  <c r="H150" i="1"/>
  <c r="F150" i="1"/>
  <c r="D150" i="1"/>
  <c r="B150" i="1"/>
  <c r="A150" i="1"/>
  <c r="U1102" i="1"/>
  <c r="R1102" i="1"/>
  <c r="Q1102" i="1"/>
  <c r="P1102" i="1"/>
  <c r="O1102" i="1"/>
  <c r="N1102" i="1"/>
  <c r="M1102" i="1"/>
  <c r="I1102" i="1"/>
  <c r="H1102" i="1"/>
  <c r="F1102" i="1"/>
  <c r="D1102" i="1"/>
  <c r="B1102" i="1"/>
  <c r="A1102" i="1"/>
  <c r="U1111" i="1"/>
  <c r="R1111" i="1"/>
  <c r="Q1111" i="1"/>
  <c r="P1111" i="1"/>
  <c r="O1111" i="1"/>
  <c r="N1111" i="1"/>
  <c r="M1111" i="1"/>
  <c r="I1111" i="1"/>
  <c r="H1111" i="1"/>
  <c r="F1111" i="1"/>
  <c r="D1111" i="1"/>
  <c r="B1111" i="1"/>
  <c r="A1111" i="1"/>
  <c r="U1120" i="1"/>
  <c r="R1120" i="1"/>
  <c r="Q1120" i="1"/>
  <c r="P1120" i="1"/>
  <c r="O1120" i="1"/>
  <c r="N1120" i="1"/>
  <c r="M1120" i="1"/>
  <c r="J1120" i="1"/>
  <c r="I1120" i="1"/>
  <c r="H1120" i="1"/>
  <c r="F1120" i="1"/>
  <c r="E1120" i="1"/>
  <c r="D1120" i="1"/>
  <c r="B1120" i="1"/>
  <c r="A1120" i="1"/>
  <c r="U1147" i="1"/>
  <c r="R1147" i="1"/>
  <c r="Q1147" i="1"/>
  <c r="P1147" i="1"/>
  <c r="O1147" i="1"/>
  <c r="N1147" i="1"/>
  <c r="M1147" i="1"/>
  <c r="I1147" i="1"/>
  <c r="H1147" i="1"/>
  <c r="F1147" i="1"/>
  <c r="D1147" i="1"/>
  <c r="A1147" i="1"/>
  <c r="U1186" i="1"/>
  <c r="R1186" i="1"/>
  <c r="Q1186" i="1"/>
  <c r="P1186" i="1"/>
  <c r="O1186" i="1"/>
  <c r="N1186" i="1"/>
  <c r="M1186" i="1"/>
  <c r="I1186" i="1"/>
  <c r="H1186" i="1"/>
  <c r="F1186" i="1"/>
  <c r="D1186" i="1"/>
  <c r="B1186" i="1"/>
  <c r="A1186" i="1"/>
  <c r="U1088" i="1"/>
  <c r="R1088" i="1"/>
  <c r="Q1088" i="1"/>
  <c r="P1088" i="1"/>
  <c r="O1088" i="1"/>
  <c r="N1088" i="1"/>
  <c r="M1088" i="1"/>
  <c r="I1088" i="1"/>
  <c r="H1088" i="1"/>
  <c r="F1088" i="1"/>
  <c r="D1088" i="1"/>
  <c r="B1088" i="1"/>
  <c r="A1088" i="1"/>
  <c r="U1156" i="1"/>
  <c r="R1156" i="1"/>
  <c r="Q1156" i="1"/>
  <c r="P1156" i="1"/>
  <c r="O1156" i="1"/>
  <c r="N1156" i="1"/>
  <c r="M1156" i="1"/>
  <c r="I1156" i="1"/>
  <c r="H1156" i="1"/>
  <c r="F1156" i="1"/>
  <c r="E1156" i="1"/>
  <c r="D1156" i="1"/>
  <c r="B1156" i="1"/>
  <c r="A1156" i="1"/>
  <c r="U1213" i="1"/>
  <c r="R1213" i="1"/>
  <c r="Q1213" i="1"/>
  <c r="P1213" i="1"/>
  <c r="O1213" i="1"/>
  <c r="N1213" i="1"/>
  <c r="M1213" i="1"/>
  <c r="I1213" i="1"/>
  <c r="H1213" i="1"/>
  <c r="F1213" i="1"/>
  <c r="D1213" i="1"/>
  <c r="B1213" i="1"/>
  <c r="A1213" i="1"/>
  <c r="U1185" i="1"/>
  <c r="R1185" i="1"/>
  <c r="Q1185" i="1"/>
  <c r="P1185" i="1"/>
  <c r="O1185" i="1"/>
  <c r="N1185" i="1"/>
  <c r="M1185" i="1"/>
  <c r="I1185" i="1"/>
  <c r="H1185" i="1"/>
  <c r="F1185" i="1"/>
  <c r="D1185" i="1"/>
  <c r="B1185" i="1"/>
  <c r="A1185" i="1"/>
  <c r="U1175" i="1"/>
  <c r="R1175" i="1"/>
  <c r="Q1175" i="1"/>
  <c r="P1175" i="1"/>
  <c r="O1175" i="1"/>
  <c r="N1175" i="1"/>
  <c r="M1175" i="1"/>
  <c r="I1175" i="1"/>
  <c r="H1175" i="1"/>
  <c r="F1175" i="1"/>
  <c r="D1175" i="1"/>
  <c r="B1175" i="1"/>
  <c r="A1175" i="1"/>
  <c r="U1184" i="1"/>
  <c r="R1184" i="1"/>
  <c r="Q1184" i="1"/>
  <c r="P1184" i="1"/>
  <c r="O1184" i="1"/>
  <c r="N1184" i="1"/>
  <c r="M1184" i="1"/>
  <c r="J1184" i="1"/>
  <c r="I1184" i="1"/>
  <c r="H1184" i="1"/>
  <c r="F1184" i="1"/>
  <c r="D1184" i="1"/>
  <c r="B1184" i="1"/>
  <c r="A1184" i="1"/>
  <c r="U1224" i="1"/>
  <c r="R1224" i="1"/>
  <c r="Q1224" i="1"/>
  <c r="P1224" i="1"/>
  <c r="O1224" i="1"/>
  <c r="N1224" i="1"/>
  <c r="M1224" i="1"/>
  <c r="I1224" i="1"/>
  <c r="H1224" i="1"/>
  <c r="F1224" i="1"/>
  <c r="D1224" i="1"/>
  <c r="B1224" i="1"/>
  <c r="A1224" i="1"/>
  <c r="U1237" i="1"/>
  <c r="R1237" i="1"/>
  <c r="Q1237" i="1"/>
  <c r="P1237" i="1"/>
  <c r="O1237" i="1"/>
  <c r="N1237" i="1"/>
  <c r="M1237" i="1"/>
  <c r="I1237" i="1"/>
  <c r="H1237" i="1"/>
  <c r="F1237" i="1"/>
  <c r="D1237" i="1"/>
  <c r="B1237" i="1"/>
  <c r="A1237" i="1"/>
  <c r="U1212" i="1"/>
  <c r="R1212" i="1"/>
  <c r="Q1212" i="1"/>
  <c r="P1212" i="1"/>
  <c r="O1212" i="1"/>
  <c r="N1212" i="1"/>
  <c r="M1212" i="1"/>
  <c r="J1212" i="1"/>
  <c r="I1212" i="1"/>
  <c r="H1212" i="1"/>
  <c r="F1212" i="1"/>
  <c r="D1212" i="1"/>
  <c r="B1212" i="1"/>
  <c r="A1212" i="1"/>
  <c r="U1158" i="1"/>
  <c r="R1158" i="1"/>
  <c r="Q1158" i="1"/>
  <c r="P1158" i="1"/>
  <c r="O1158" i="1"/>
  <c r="N1158" i="1"/>
  <c r="M1158" i="1"/>
  <c r="I1158" i="1"/>
  <c r="H1158" i="1"/>
  <c r="F1158" i="1"/>
  <c r="D1158" i="1"/>
  <c r="B1158" i="1"/>
  <c r="A1158" i="1"/>
  <c r="U1303" i="1"/>
  <c r="R1303" i="1"/>
  <c r="Q1303" i="1"/>
  <c r="P1303" i="1"/>
  <c r="O1303" i="1"/>
  <c r="N1303" i="1"/>
  <c r="M1303" i="1"/>
  <c r="I1303" i="1"/>
  <c r="H1303" i="1"/>
  <c r="F1303" i="1"/>
  <c r="D1303" i="1"/>
  <c r="A1303" i="1"/>
  <c r="U1310" i="1"/>
  <c r="R1310" i="1"/>
  <c r="Q1310" i="1"/>
  <c r="P1310" i="1"/>
  <c r="O1310" i="1"/>
  <c r="N1310" i="1"/>
  <c r="M1310" i="1"/>
  <c r="I1310" i="1"/>
  <c r="H1310" i="1"/>
  <c r="F1310" i="1"/>
  <c r="E1310" i="1"/>
  <c r="D1310" i="1"/>
  <c r="B1310" i="1"/>
  <c r="A1310" i="1"/>
  <c r="U1309" i="1"/>
  <c r="R1309" i="1"/>
  <c r="Q1309" i="1"/>
  <c r="P1309" i="1"/>
  <c r="O1309" i="1"/>
  <c r="N1309" i="1"/>
  <c r="M1309" i="1"/>
  <c r="I1309" i="1"/>
  <c r="H1309" i="1"/>
  <c r="F1309" i="1"/>
  <c r="D1309" i="1"/>
  <c r="B1309" i="1"/>
  <c r="A1309" i="1"/>
  <c r="U1134" i="1"/>
  <c r="R1134" i="1"/>
  <c r="Q1134" i="1"/>
  <c r="P1134" i="1"/>
  <c r="O1134" i="1"/>
  <c r="N1134" i="1"/>
  <c r="M1134" i="1"/>
  <c r="J1134" i="1"/>
  <c r="I1134" i="1"/>
  <c r="H1134" i="1"/>
  <c r="F1134" i="1"/>
  <c r="D1134" i="1"/>
  <c r="B1134" i="1"/>
  <c r="A1134" i="1"/>
  <c r="U1339" i="1"/>
  <c r="R1339" i="1"/>
  <c r="Q1339" i="1"/>
  <c r="P1339" i="1"/>
  <c r="O1339" i="1"/>
  <c r="N1339" i="1"/>
  <c r="M1339" i="1"/>
  <c r="I1339" i="1"/>
  <c r="H1339" i="1"/>
  <c r="F1339" i="1"/>
  <c r="D1339" i="1"/>
  <c r="B1339" i="1"/>
  <c r="A1339" i="1"/>
  <c r="U1358" i="1"/>
  <c r="R1358" i="1"/>
  <c r="Q1358" i="1"/>
  <c r="P1358" i="1"/>
  <c r="O1358" i="1"/>
  <c r="N1358" i="1"/>
  <c r="M1358" i="1"/>
  <c r="I1358" i="1"/>
  <c r="H1358" i="1"/>
  <c r="F1358" i="1"/>
  <c r="D1358" i="1"/>
  <c r="B1358" i="1"/>
  <c r="A1358" i="1"/>
  <c r="U1357" i="1"/>
  <c r="R1357" i="1"/>
  <c r="Q1357" i="1"/>
  <c r="P1357" i="1"/>
  <c r="O1357" i="1"/>
  <c r="N1357" i="1"/>
  <c r="M1357" i="1"/>
  <c r="I1357" i="1"/>
  <c r="H1357" i="1"/>
  <c r="F1357" i="1"/>
  <c r="D1357" i="1"/>
  <c r="B1357" i="1"/>
  <c r="A1357" i="1"/>
  <c r="U1371" i="1"/>
  <c r="R1371" i="1"/>
  <c r="Q1371" i="1"/>
  <c r="P1371" i="1"/>
  <c r="O1371" i="1"/>
  <c r="N1371" i="1"/>
  <c r="M1371" i="1"/>
  <c r="I1371" i="1"/>
  <c r="H1371" i="1"/>
  <c r="F1371" i="1"/>
  <c r="D1371" i="1"/>
  <c r="B1371" i="1"/>
  <c r="A1371" i="1"/>
  <c r="U1398" i="1"/>
  <c r="R1398" i="1"/>
  <c r="Q1398" i="1"/>
  <c r="P1398" i="1"/>
  <c r="O1398" i="1"/>
  <c r="N1398" i="1"/>
  <c r="M1398" i="1"/>
  <c r="I1398" i="1"/>
  <c r="H1398" i="1"/>
  <c r="F1398" i="1"/>
  <c r="D1398" i="1"/>
  <c r="B1398" i="1"/>
  <c r="A1398" i="1"/>
  <c r="U1417" i="1"/>
  <c r="R1417" i="1"/>
  <c r="Q1417" i="1"/>
  <c r="P1417" i="1"/>
  <c r="O1417" i="1"/>
  <c r="N1417" i="1"/>
  <c r="M1417" i="1"/>
  <c r="J1417" i="1"/>
  <c r="I1417" i="1"/>
  <c r="H1417" i="1"/>
  <c r="F1417" i="1"/>
  <c r="E1417" i="1"/>
  <c r="D1417" i="1"/>
  <c r="B1417" i="1"/>
  <c r="A1417" i="1"/>
  <c r="U1419" i="1"/>
  <c r="R1419" i="1"/>
  <c r="Q1419" i="1"/>
  <c r="P1419" i="1"/>
  <c r="O1419" i="1"/>
  <c r="N1419" i="1"/>
  <c r="M1419" i="1"/>
  <c r="J1419" i="1"/>
  <c r="I1419" i="1"/>
  <c r="H1419" i="1"/>
  <c r="F1419" i="1"/>
  <c r="D1419" i="1"/>
  <c r="B1419" i="1"/>
  <c r="A1419" i="1"/>
  <c r="U1457" i="1"/>
  <c r="R1457" i="1"/>
  <c r="Q1457" i="1"/>
  <c r="P1457" i="1"/>
  <c r="O1457" i="1"/>
  <c r="N1457" i="1"/>
  <c r="M1457" i="1"/>
  <c r="I1457" i="1"/>
  <c r="H1457" i="1"/>
  <c r="F1457" i="1"/>
  <c r="D1457" i="1"/>
  <c r="A1457" i="1"/>
  <c r="U1487" i="1"/>
  <c r="R1487" i="1"/>
  <c r="Q1487" i="1"/>
  <c r="P1487" i="1"/>
  <c r="O1487" i="1"/>
  <c r="N1487" i="1"/>
  <c r="M1487" i="1"/>
  <c r="J1487" i="1"/>
  <c r="I1487" i="1"/>
  <c r="H1487" i="1"/>
  <c r="F1487" i="1"/>
  <c r="D1487" i="1"/>
  <c r="B1487" i="1"/>
  <c r="A1487" i="1"/>
  <c r="U1524" i="1"/>
  <c r="R1524" i="1"/>
  <c r="Q1524" i="1"/>
  <c r="P1524" i="1"/>
  <c r="O1524" i="1"/>
  <c r="N1524" i="1"/>
  <c r="M1524" i="1"/>
  <c r="I1524" i="1"/>
  <c r="H1524" i="1"/>
  <c r="F1524" i="1"/>
  <c r="D1524" i="1"/>
  <c r="B1524" i="1"/>
  <c r="A1524" i="1"/>
  <c r="U1528" i="1"/>
  <c r="R1528" i="1"/>
  <c r="Q1528" i="1"/>
  <c r="P1528" i="1"/>
  <c r="O1528" i="1"/>
  <c r="N1528" i="1"/>
  <c r="M1528" i="1"/>
  <c r="I1528" i="1"/>
  <c r="H1528" i="1"/>
  <c r="F1528" i="1"/>
  <c r="D1528" i="1"/>
  <c r="A1528" i="1"/>
  <c r="U1533" i="1"/>
  <c r="R1533" i="1"/>
  <c r="Q1533" i="1"/>
  <c r="P1533" i="1"/>
  <c r="O1533" i="1"/>
  <c r="N1533" i="1"/>
  <c r="M1533" i="1"/>
  <c r="I1533" i="1"/>
  <c r="H1533" i="1"/>
  <c r="F1533" i="1"/>
  <c r="D1533" i="1"/>
  <c r="A1533" i="1"/>
  <c r="U1550" i="1"/>
  <c r="R1550" i="1"/>
  <c r="Q1550" i="1"/>
  <c r="P1550" i="1"/>
  <c r="O1550" i="1"/>
  <c r="N1550" i="1"/>
  <c r="M1550" i="1"/>
  <c r="J1550" i="1"/>
  <c r="I1550" i="1"/>
  <c r="H1550" i="1"/>
  <c r="F1550" i="1"/>
  <c r="D1550" i="1"/>
  <c r="B1550" i="1"/>
  <c r="A1550" i="1"/>
  <c r="U1549" i="1"/>
  <c r="R1549" i="1"/>
  <c r="Q1549" i="1"/>
  <c r="P1549" i="1"/>
  <c r="O1549" i="1"/>
  <c r="N1549" i="1"/>
  <c r="M1549" i="1"/>
  <c r="J1549" i="1"/>
  <c r="I1549" i="1"/>
  <c r="H1549" i="1"/>
  <c r="F1549" i="1"/>
  <c r="D1549" i="1"/>
  <c r="B1549" i="1"/>
  <c r="A1549" i="1"/>
  <c r="U1559" i="1"/>
  <c r="R1559" i="1"/>
  <c r="Q1559" i="1"/>
  <c r="P1559" i="1"/>
  <c r="O1559" i="1"/>
  <c r="N1559" i="1"/>
  <c r="M1559" i="1"/>
  <c r="I1559" i="1"/>
  <c r="H1559" i="1"/>
  <c r="F1559" i="1"/>
  <c r="D1559" i="1"/>
  <c r="B1559" i="1"/>
  <c r="A1559" i="1"/>
  <c r="U1580" i="1"/>
  <c r="R1580" i="1"/>
  <c r="Q1580" i="1"/>
  <c r="P1580" i="1"/>
  <c r="O1580" i="1"/>
  <c r="N1580" i="1"/>
  <c r="M1580" i="1"/>
  <c r="J1580" i="1"/>
  <c r="I1580" i="1"/>
  <c r="H1580" i="1"/>
  <c r="F1580" i="1"/>
  <c r="D1580" i="1"/>
  <c r="A1580" i="1"/>
  <c r="U1599" i="1"/>
  <c r="R1599" i="1"/>
  <c r="Q1599" i="1"/>
  <c r="P1599" i="1"/>
  <c r="O1599" i="1"/>
  <c r="N1599" i="1"/>
  <c r="M1599" i="1"/>
  <c r="I1599" i="1"/>
  <c r="H1599" i="1"/>
  <c r="F1599" i="1"/>
  <c r="D1599" i="1"/>
  <c r="B1599" i="1"/>
  <c r="A1599" i="1"/>
  <c r="U1606" i="1"/>
  <c r="R1606" i="1"/>
  <c r="Q1606" i="1"/>
  <c r="P1606" i="1"/>
  <c r="O1606" i="1"/>
  <c r="N1606" i="1"/>
  <c r="M1606" i="1"/>
  <c r="I1606" i="1"/>
  <c r="H1606" i="1"/>
  <c r="F1606" i="1"/>
  <c r="D1606" i="1"/>
  <c r="A1606" i="1"/>
  <c r="U1605" i="1"/>
  <c r="R1605" i="1"/>
  <c r="Q1605" i="1"/>
  <c r="P1605" i="1"/>
  <c r="O1605" i="1"/>
  <c r="N1605" i="1"/>
  <c r="M1605" i="1"/>
  <c r="I1605" i="1"/>
  <c r="H1605" i="1"/>
  <c r="F1605" i="1"/>
  <c r="D1605" i="1"/>
  <c r="A1605" i="1"/>
  <c r="U1622" i="1"/>
  <c r="R1622" i="1"/>
  <c r="Q1622" i="1"/>
  <c r="P1622" i="1"/>
  <c r="O1622" i="1"/>
  <c r="N1622" i="1"/>
  <c r="M1622" i="1"/>
  <c r="I1622" i="1"/>
  <c r="H1622" i="1"/>
  <c r="F1622" i="1"/>
  <c r="D1622" i="1"/>
  <c r="A1622" i="1"/>
  <c r="U1634" i="1"/>
  <c r="R1634" i="1"/>
  <c r="Q1634" i="1"/>
  <c r="P1634" i="1"/>
  <c r="O1634" i="1"/>
  <c r="N1634" i="1"/>
  <c r="M1634" i="1"/>
  <c r="J1634" i="1"/>
  <c r="I1634" i="1"/>
  <c r="H1634" i="1"/>
  <c r="F1634" i="1"/>
  <c r="D1634" i="1"/>
  <c r="B1634" i="1"/>
  <c r="A1634" i="1"/>
  <c r="U1633" i="1"/>
  <c r="R1633" i="1"/>
  <c r="Q1633" i="1"/>
  <c r="P1633" i="1"/>
  <c r="O1633" i="1"/>
  <c r="N1633" i="1"/>
  <c r="M1633" i="1"/>
  <c r="J1633" i="1"/>
  <c r="I1633" i="1"/>
  <c r="H1633" i="1"/>
  <c r="F1633" i="1"/>
  <c r="D1633" i="1"/>
  <c r="A1633" i="1"/>
  <c r="U1643" i="1"/>
  <c r="R1643" i="1"/>
  <c r="Q1643" i="1"/>
  <c r="P1643" i="1"/>
  <c r="O1643" i="1"/>
  <c r="N1643" i="1"/>
  <c r="M1643" i="1"/>
  <c r="I1643" i="1"/>
  <c r="H1643" i="1"/>
  <c r="F1643" i="1"/>
  <c r="D1643" i="1"/>
  <c r="A1643" i="1"/>
  <c r="U1642" i="1"/>
  <c r="R1642" i="1"/>
  <c r="Q1642" i="1"/>
  <c r="P1642" i="1"/>
  <c r="O1642" i="1"/>
  <c r="N1642" i="1"/>
  <c r="M1642" i="1"/>
  <c r="K1642" i="1"/>
  <c r="J1642" i="1"/>
  <c r="I1642" i="1"/>
  <c r="H1642" i="1"/>
  <c r="F1642" i="1"/>
  <c r="D1642" i="1"/>
  <c r="B1642" i="1"/>
  <c r="A1642" i="1"/>
  <c r="U1652" i="1"/>
  <c r="R1652" i="1"/>
  <c r="Q1652" i="1"/>
  <c r="P1652" i="1"/>
  <c r="O1652" i="1"/>
  <c r="N1652" i="1"/>
  <c r="M1652" i="1"/>
  <c r="J1652" i="1"/>
  <c r="I1652" i="1"/>
  <c r="H1652" i="1"/>
  <c r="F1652" i="1"/>
  <c r="D1652" i="1"/>
  <c r="A1652" i="1"/>
  <c r="U1668" i="1"/>
  <c r="R1668" i="1"/>
  <c r="Q1668" i="1"/>
  <c r="P1668" i="1"/>
  <c r="O1668" i="1"/>
  <c r="N1668" i="1"/>
  <c r="M1668" i="1"/>
  <c r="I1668" i="1"/>
  <c r="H1668" i="1"/>
  <c r="F1668" i="1"/>
  <c r="D1668" i="1"/>
  <c r="B1668" i="1"/>
  <c r="A1668" i="1"/>
  <c r="U1673" i="1"/>
  <c r="R1673" i="1"/>
  <c r="Q1673" i="1"/>
  <c r="P1673" i="1"/>
  <c r="O1673" i="1"/>
  <c r="N1673" i="1"/>
  <c r="M1673" i="1"/>
  <c r="I1673" i="1"/>
  <c r="H1673" i="1"/>
  <c r="G1673" i="1"/>
  <c r="F1673" i="1"/>
  <c r="D1673" i="1"/>
  <c r="A1673" i="1"/>
  <c r="U1705" i="1"/>
  <c r="R1705" i="1"/>
  <c r="Q1705" i="1"/>
  <c r="P1705" i="1"/>
  <c r="O1705" i="1"/>
  <c r="N1705" i="1"/>
  <c r="M1705" i="1"/>
  <c r="J1705" i="1"/>
  <c r="I1705" i="1"/>
  <c r="H1705" i="1"/>
  <c r="F1705" i="1"/>
  <c r="D1705" i="1"/>
  <c r="B1705" i="1"/>
  <c r="A1705" i="1"/>
  <c r="U1729" i="1"/>
  <c r="R1729" i="1"/>
  <c r="Q1729" i="1"/>
  <c r="P1729" i="1"/>
  <c r="O1729" i="1"/>
  <c r="N1729" i="1"/>
  <c r="M1729" i="1"/>
  <c r="I1729" i="1"/>
  <c r="H1729" i="1"/>
  <c r="F1729" i="1"/>
  <c r="E1729" i="1"/>
  <c r="D1729" i="1"/>
  <c r="A1729" i="1"/>
  <c r="U1751" i="1"/>
  <c r="R1751" i="1"/>
  <c r="Q1751" i="1"/>
  <c r="P1751" i="1"/>
  <c r="O1751" i="1"/>
  <c r="N1751" i="1"/>
  <c r="M1751" i="1"/>
  <c r="J1751" i="1"/>
  <c r="I1751" i="1"/>
  <c r="H1751" i="1"/>
  <c r="F1751" i="1"/>
  <c r="D1751" i="1"/>
  <c r="B1751" i="1"/>
  <c r="A1751" i="1"/>
  <c r="U1760" i="1"/>
  <c r="R1760" i="1"/>
  <c r="Q1760" i="1"/>
  <c r="P1760" i="1"/>
  <c r="O1760" i="1"/>
  <c r="N1760" i="1"/>
  <c r="M1760" i="1"/>
  <c r="I1760" i="1"/>
  <c r="H1760" i="1"/>
  <c r="F1760" i="1"/>
  <c r="D1760" i="1"/>
  <c r="B1760" i="1"/>
  <c r="A1760" i="1"/>
  <c r="U1762" i="1"/>
  <c r="R1762" i="1"/>
  <c r="Q1762" i="1"/>
  <c r="P1762" i="1"/>
  <c r="O1762" i="1"/>
  <c r="N1762" i="1"/>
  <c r="M1762" i="1"/>
  <c r="I1762" i="1"/>
  <c r="H1762" i="1"/>
  <c r="F1762" i="1"/>
  <c r="E1762" i="1"/>
  <c r="D1762" i="1"/>
  <c r="A1762" i="1"/>
  <c r="U1767" i="1"/>
  <c r="R1767" i="1"/>
  <c r="Q1767" i="1"/>
  <c r="P1767" i="1"/>
  <c r="O1767" i="1"/>
  <c r="N1767" i="1"/>
  <c r="M1767" i="1"/>
  <c r="I1767" i="1"/>
  <c r="H1767" i="1"/>
  <c r="F1767" i="1"/>
  <c r="E1767" i="1"/>
  <c r="D1767" i="1"/>
  <c r="A1767" i="1"/>
  <c r="U1782" i="1"/>
  <c r="R1782" i="1"/>
  <c r="Q1782" i="1"/>
  <c r="P1782" i="1"/>
  <c r="O1782" i="1"/>
  <c r="N1782" i="1"/>
  <c r="M1782" i="1"/>
  <c r="I1782" i="1"/>
  <c r="H1782" i="1"/>
  <c r="F1782" i="1"/>
  <c r="D1782" i="1"/>
  <c r="A1782" i="1"/>
  <c r="U1799" i="1"/>
  <c r="R1799" i="1"/>
  <c r="Q1799" i="1"/>
  <c r="P1799" i="1"/>
  <c r="O1799" i="1"/>
  <c r="N1799" i="1"/>
  <c r="M1799" i="1"/>
  <c r="K1799" i="1"/>
  <c r="J1799" i="1"/>
  <c r="I1799" i="1"/>
  <c r="H1799" i="1"/>
  <c r="F1799" i="1"/>
  <c r="D1799" i="1"/>
  <c r="B1799" i="1"/>
  <c r="A1799" i="1"/>
  <c r="U1809" i="1"/>
  <c r="R1809" i="1"/>
  <c r="Q1809" i="1"/>
  <c r="P1809" i="1"/>
  <c r="O1809" i="1"/>
  <c r="N1809" i="1"/>
  <c r="M1809" i="1"/>
  <c r="J1809" i="1"/>
  <c r="I1809" i="1"/>
  <c r="H1809" i="1"/>
  <c r="F1809" i="1"/>
  <c r="E1809" i="1"/>
  <c r="D1809" i="1"/>
  <c r="A1809" i="1"/>
  <c r="U1817" i="1"/>
  <c r="R1817" i="1"/>
  <c r="Q1817" i="1"/>
  <c r="P1817" i="1"/>
  <c r="O1817" i="1"/>
  <c r="N1817" i="1"/>
  <c r="M1817" i="1"/>
  <c r="J1817" i="1"/>
  <c r="I1817" i="1"/>
  <c r="H1817" i="1"/>
  <c r="F1817" i="1"/>
  <c r="E1817" i="1"/>
  <c r="D1817" i="1"/>
  <c r="A1817" i="1"/>
  <c r="U1850" i="1"/>
  <c r="R1850" i="1"/>
  <c r="Q1850" i="1"/>
  <c r="P1850" i="1"/>
  <c r="O1850" i="1"/>
  <c r="N1850" i="1"/>
  <c r="M1850" i="1"/>
  <c r="J1850" i="1"/>
  <c r="I1850" i="1"/>
  <c r="H1850" i="1"/>
  <c r="F1850" i="1"/>
  <c r="E1850" i="1"/>
  <c r="D1850" i="1"/>
  <c r="A1850" i="1"/>
  <c r="U1859" i="1"/>
  <c r="R1859" i="1"/>
  <c r="Q1859" i="1"/>
  <c r="P1859" i="1"/>
  <c r="O1859" i="1"/>
  <c r="N1859" i="1"/>
  <c r="M1859" i="1"/>
  <c r="J1859" i="1"/>
  <c r="I1859" i="1"/>
  <c r="H1859" i="1"/>
  <c r="F1859" i="1"/>
  <c r="D1859" i="1"/>
  <c r="B1859" i="1"/>
  <c r="A1859" i="1"/>
  <c r="U1887" i="1"/>
  <c r="R1887" i="1"/>
  <c r="Q1887" i="1"/>
  <c r="P1887" i="1"/>
  <c r="O1887" i="1"/>
  <c r="N1887" i="1"/>
  <c r="M1887" i="1"/>
  <c r="K1887" i="1"/>
  <c r="J1887" i="1"/>
  <c r="I1887" i="1"/>
  <c r="H1887" i="1"/>
  <c r="F1887" i="1"/>
  <c r="D1887" i="1"/>
  <c r="B1887" i="1"/>
  <c r="A1887" i="1"/>
  <c r="U1886" i="1"/>
  <c r="R1886" i="1"/>
  <c r="Q1886" i="1"/>
  <c r="P1886" i="1"/>
  <c r="O1886" i="1"/>
  <c r="N1886" i="1"/>
  <c r="M1886" i="1"/>
  <c r="J1886" i="1"/>
  <c r="I1886" i="1"/>
  <c r="H1886" i="1"/>
  <c r="F1886" i="1"/>
  <c r="D1886" i="1"/>
  <c r="B1886" i="1"/>
  <c r="A1886" i="1"/>
  <c r="U1982" i="1"/>
  <c r="R1982" i="1"/>
  <c r="Q1982" i="1"/>
  <c r="P1982" i="1"/>
  <c r="O1982" i="1"/>
  <c r="N1982" i="1"/>
  <c r="M1982" i="1"/>
  <c r="J1982" i="1"/>
  <c r="I1982" i="1"/>
  <c r="H1982" i="1"/>
  <c r="F1982" i="1"/>
  <c r="D1982" i="1"/>
  <c r="B1982" i="1"/>
  <c r="A1982" i="1"/>
  <c r="U1972" i="1"/>
  <c r="R1972" i="1"/>
  <c r="Q1972" i="1"/>
  <c r="P1972" i="1"/>
  <c r="O1972" i="1"/>
  <c r="N1972" i="1"/>
  <c r="M1972" i="1"/>
  <c r="K1972" i="1"/>
  <c r="J1972" i="1"/>
  <c r="I1972" i="1"/>
  <c r="H1972" i="1"/>
  <c r="F1972" i="1"/>
  <c r="D1972" i="1"/>
  <c r="B1972" i="1"/>
  <c r="A1972" i="1"/>
  <c r="U1975" i="1"/>
  <c r="R1975" i="1"/>
  <c r="Q1975" i="1"/>
  <c r="P1975" i="1"/>
  <c r="O1975" i="1"/>
  <c r="N1975" i="1"/>
  <c r="M1975" i="1"/>
  <c r="J1975" i="1"/>
  <c r="I1975" i="1"/>
  <c r="H1975" i="1"/>
  <c r="F1975" i="1"/>
  <c r="D1975" i="1"/>
  <c r="B1975" i="1"/>
  <c r="A1975" i="1"/>
  <c r="U1988" i="1"/>
  <c r="R1988" i="1"/>
  <c r="Q1988" i="1"/>
  <c r="P1988" i="1"/>
  <c r="O1988" i="1"/>
  <c r="N1988" i="1"/>
  <c r="M1988" i="1"/>
  <c r="J1988" i="1"/>
  <c r="I1988" i="1"/>
  <c r="H1988" i="1"/>
  <c r="F1988" i="1"/>
  <c r="D1988" i="1"/>
  <c r="B1988" i="1"/>
  <c r="A1988" i="1"/>
  <c r="U1998" i="1"/>
  <c r="R1998" i="1"/>
  <c r="Q1998" i="1"/>
  <c r="P1998" i="1"/>
  <c r="O1998" i="1"/>
  <c r="N1998" i="1"/>
  <c r="M1998" i="1"/>
  <c r="K1998" i="1"/>
  <c r="J1998" i="1"/>
  <c r="I1998" i="1"/>
  <c r="H1998" i="1"/>
  <c r="F1998" i="1"/>
  <c r="E1998" i="1"/>
  <c r="D1998" i="1"/>
  <c r="A1998" i="1"/>
  <c r="U2036" i="1"/>
  <c r="R2036" i="1"/>
  <c r="Q2036" i="1"/>
  <c r="P2036" i="1"/>
  <c r="O2036" i="1"/>
  <c r="N2036" i="1"/>
  <c r="M2036" i="1"/>
  <c r="J2036" i="1"/>
  <c r="I2036" i="1"/>
  <c r="H2036" i="1"/>
  <c r="F2036" i="1"/>
  <c r="D2036" i="1"/>
  <c r="B2036" i="1"/>
  <c r="A2036" i="1"/>
  <c r="U2041" i="1"/>
  <c r="R2041" i="1"/>
  <c r="Q2041" i="1"/>
  <c r="P2041" i="1"/>
  <c r="O2041" i="1"/>
  <c r="N2041" i="1"/>
  <c r="M2041" i="1"/>
  <c r="K2041" i="1"/>
  <c r="J2041" i="1"/>
  <c r="I2041" i="1"/>
  <c r="H2041" i="1"/>
  <c r="F2041" i="1"/>
  <c r="D2041" i="1"/>
  <c r="B2041" i="1"/>
  <c r="A2041" i="1"/>
  <c r="U2042" i="1"/>
  <c r="R2042" i="1"/>
  <c r="Q2042" i="1"/>
  <c r="P2042" i="1"/>
  <c r="O2042" i="1"/>
  <c r="N2042" i="1"/>
  <c r="M2042" i="1"/>
  <c r="K2042" i="1"/>
  <c r="J2042" i="1"/>
  <c r="I2042" i="1"/>
  <c r="H2042" i="1"/>
  <c r="F2042" i="1"/>
  <c r="E2042" i="1"/>
  <c r="D2042" i="1"/>
  <c r="B2042" i="1"/>
  <c r="A2042" i="1"/>
  <c r="U2333" i="1"/>
  <c r="R2333" i="1"/>
  <c r="Q2333" i="1"/>
  <c r="P2333" i="1"/>
  <c r="O2333" i="1"/>
  <c r="N2333" i="1"/>
  <c r="M2333" i="1"/>
  <c r="K2333" i="1"/>
  <c r="J2333" i="1"/>
  <c r="I2333" i="1"/>
  <c r="H2333" i="1"/>
  <c r="F2333" i="1"/>
  <c r="D2333" i="1"/>
  <c r="B2333" i="1"/>
  <c r="A2333" i="1"/>
  <c r="U2381" i="1"/>
  <c r="R2381" i="1"/>
  <c r="Q2381" i="1"/>
  <c r="P2381" i="1"/>
  <c r="O2381" i="1"/>
  <c r="N2381" i="1"/>
  <c r="M2381" i="1"/>
  <c r="J2381" i="1"/>
  <c r="I2381" i="1"/>
  <c r="H2381" i="1"/>
  <c r="F2381" i="1"/>
  <c r="D2381" i="1"/>
  <c r="B2381" i="1"/>
  <c r="A2381" i="1"/>
  <c r="U2565" i="1"/>
  <c r="R2565" i="1"/>
  <c r="Q2565" i="1"/>
  <c r="P2565" i="1"/>
  <c r="O2565" i="1"/>
  <c r="N2565" i="1"/>
  <c r="M2565" i="1"/>
  <c r="K2565" i="1"/>
  <c r="J2565" i="1"/>
  <c r="I2565" i="1"/>
  <c r="H2565" i="1"/>
  <c r="F2565" i="1"/>
  <c r="D2565" i="1"/>
  <c r="B2565" i="1"/>
  <c r="A2565" i="1"/>
  <c r="U2152" i="1"/>
  <c r="R2152" i="1"/>
  <c r="Q2152" i="1"/>
  <c r="P2152" i="1"/>
  <c r="O2152" i="1"/>
  <c r="N2152" i="1"/>
  <c r="M2152" i="1"/>
  <c r="J2152" i="1"/>
  <c r="I2152" i="1"/>
  <c r="H2152" i="1"/>
  <c r="F2152" i="1"/>
  <c r="D2152" i="1"/>
  <c r="B2152" i="1"/>
  <c r="A2152" i="1"/>
  <c r="U1943" i="1"/>
  <c r="R1943" i="1"/>
  <c r="Q1943" i="1"/>
  <c r="P1943" i="1"/>
  <c r="O1943" i="1"/>
  <c r="N1943" i="1"/>
  <c r="M1943" i="1"/>
  <c r="K1943" i="1"/>
  <c r="J1943" i="1"/>
  <c r="I1943" i="1"/>
  <c r="H1943" i="1"/>
  <c r="F1943" i="1"/>
  <c r="D1943" i="1"/>
  <c r="B1943" i="1"/>
  <c r="A1943" i="1"/>
  <c r="U2914" i="1"/>
  <c r="R2914" i="1"/>
  <c r="Q2914" i="1"/>
  <c r="P2914" i="1"/>
  <c r="O2914" i="1"/>
  <c r="N2914" i="1"/>
  <c r="M2914" i="1"/>
  <c r="K2914" i="1"/>
  <c r="J2914" i="1"/>
  <c r="I2914" i="1"/>
  <c r="H2914" i="1"/>
  <c r="F2914" i="1"/>
  <c r="D2914" i="1"/>
  <c r="B2914" i="1"/>
  <c r="A2914" i="1"/>
  <c r="U1942" i="1"/>
  <c r="R1942" i="1"/>
  <c r="Q1942" i="1"/>
  <c r="P1942" i="1"/>
  <c r="O1942" i="1"/>
  <c r="N1942" i="1"/>
  <c r="M1942" i="1"/>
  <c r="K1942" i="1"/>
  <c r="J1942" i="1"/>
  <c r="I1942" i="1"/>
  <c r="H1942" i="1"/>
  <c r="F1942" i="1"/>
  <c r="E1942" i="1"/>
  <c r="D1942" i="1"/>
  <c r="B1942" i="1"/>
  <c r="A1942" i="1"/>
  <c r="U3208" i="1"/>
  <c r="R3208" i="1"/>
  <c r="Q3208" i="1"/>
  <c r="P3208" i="1"/>
  <c r="O3208" i="1"/>
  <c r="N3208" i="1"/>
  <c r="M3208" i="1"/>
  <c r="K3208" i="1"/>
  <c r="J3208" i="1"/>
  <c r="I3208" i="1"/>
  <c r="H3208" i="1"/>
  <c r="F3208" i="1"/>
  <c r="D3208" i="1"/>
  <c r="B3208" i="1"/>
  <c r="A3208" i="1"/>
  <c r="U1941" i="1"/>
  <c r="R1941" i="1"/>
  <c r="Q1941" i="1"/>
  <c r="P1941" i="1"/>
  <c r="O1941" i="1"/>
  <c r="N1941" i="1"/>
  <c r="M1941" i="1"/>
  <c r="K1941" i="1"/>
  <c r="J1941" i="1"/>
  <c r="I1941" i="1"/>
  <c r="H1941" i="1"/>
  <c r="F1941" i="1"/>
  <c r="D1941" i="1"/>
  <c r="B1941" i="1"/>
  <c r="A1941" i="1"/>
  <c r="U1940" i="1"/>
  <c r="R1940" i="1"/>
  <c r="Q1940" i="1"/>
  <c r="P1940" i="1"/>
  <c r="O1940" i="1"/>
  <c r="N1940" i="1"/>
  <c r="M1940" i="1"/>
  <c r="K1940" i="1"/>
  <c r="J1940" i="1"/>
  <c r="I1940" i="1"/>
  <c r="H1940" i="1"/>
  <c r="F1940" i="1"/>
  <c r="D1940" i="1"/>
  <c r="B1940" i="1"/>
  <c r="A1940" i="1"/>
  <c r="U3221" i="1"/>
  <c r="R3221" i="1"/>
  <c r="Q3221" i="1"/>
  <c r="P3221" i="1"/>
  <c r="O3221" i="1"/>
  <c r="N3221" i="1"/>
  <c r="M3221" i="1"/>
  <c r="K3221" i="1"/>
  <c r="J3221" i="1"/>
  <c r="I3221" i="1"/>
  <c r="H3221" i="1"/>
  <c r="F3221" i="1"/>
  <c r="D3221" i="1"/>
  <c r="B3221" i="1"/>
  <c r="A3221" i="1"/>
  <c r="U1939" i="1"/>
  <c r="R1939" i="1"/>
  <c r="Q1939" i="1"/>
  <c r="P1939" i="1"/>
  <c r="O1939" i="1"/>
  <c r="N1939" i="1"/>
  <c r="M1939" i="1"/>
  <c r="K1939" i="1"/>
  <c r="J1939" i="1"/>
  <c r="I1939" i="1"/>
  <c r="H1939" i="1"/>
  <c r="F1939" i="1"/>
  <c r="D1939" i="1"/>
  <c r="B1939" i="1"/>
  <c r="A1939" i="1"/>
  <c r="U3205" i="1"/>
  <c r="R3205" i="1"/>
  <c r="Q3205" i="1"/>
  <c r="P3205" i="1"/>
  <c r="O3205" i="1"/>
  <c r="N3205" i="1"/>
  <c r="M3205" i="1"/>
  <c r="K3205" i="1"/>
  <c r="J3205" i="1"/>
  <c r="I3205" i="1"/>
  <c r="H3205" i="1"/>
  <c r="F3205" i="1"/>
  <c r="D3205" i="1"/>
  <c r="B3205" i="1"/>
  <c r="A3205" i="1"/>
  <c r="U1938" i="1"/>
  <c r="R1938" i="1"/>
  <c r="Q1938" i="1"/>
  <c r="P1938" i="1"/>
  <c r="O1938" i="1"/>
  <c r="N1938" i="1"/>
  <c r="M1938" i="1"/>
  <c r="K1938" i="1"/>
  <c r="J1938" i="1"/>
  <c r="I1938" i="1"/>
  <c r="H1938" i="1"/>
  <c r="F1938" i="1"/>
  <c r="D1938" i="1"/>
  <c r="B1938" i="1"/>
  <c r="A1938" i="1"/>
  <c r="U2926" i="1"/>
  <c r="R2926" i="1"/>
  <c r="Q2926" i="1"/>
  <c r="P2926" i="1"/>
  <c r="O2926" i="1"/>
  <c r="N2926" i="1"/>
  <c r="M2926" i="1"/>
  <c r="K2926" i="1"/>
  <c r="J2926" i="1"/>
  <c r="I2926" i="1"/>
  <c r="H2926" i="1"/>
  <c r="F2926" i="1"/>
  <c r="D2926" i="1"/>
  <c r="B2926" i="1"/>
  <c r="A2926" i="1"/>
  <c r="U3189" i="1"/>
  <c r="R3189" i="1"/>
  <c r="Q3189" i="1"/>
  <c r="P3189" i="1"/>
  <c r="O3189" i="1"/>
  <c r="N3189" i="1"/>
  <c r="M3189" i="1"/>
  <c r="K3189" i="1"/>
  <c r="J3189" i="1"/>
  <c r="I3189" i="1"/>
  <c r="H3189" i="1"/>
  <c r="F3189" i="1"/>
  <c r="D3189" i="1"/>
  <c r="B3189" i="1"/>
  <c r="A3189" i="1"/>
  <c r="U3220" i="1"/>
  <c r="R3220" i="1"/>
  <c r="Q3220" i="1"/>
  <c r="P3220" i="1"/>
  <c r="O3220" i="1"/>
  <c r="N3220" i="1"/>
  <c r="M3220" i="1"/>
  <c r="K3220" i="1"/>
  <c r="J3220" i="1"/>
  <c r="I3220" i="1"/>
  <c r="H3220" i="1"/>
  <c r="F3220" i="1"/>
  <c r="D3220" i="1"/>
  <c r="B3220" i="1"/>
  <c r="A3220" i="1"/>
  <c r="U1937" i="1"/>
  <c r="R1937" i="1"/>
  <c r="Q1937" i="1"/>
  <c r="P1937" i="1"/>
  <c r="O1937" i="1"/>
  <c r="N1937" i="1"/>
  <c r="M1937" i="1"/>
  <c r="K1937" i="1"/>
  <c r="J1937" i="1"/>
  <c r="I1937" i="1"/>
  <c r="H1937" i="1"/>
  <c r="F1937" i="1"/>
  <c r="D1937" i="1"/>
  <c r="B1937" i="1"/>
  <c r="A1937" i="1"/>
  <c r="U3202" i="1"/>
  <c r="R3202" i="1"/>
  <c r="Q3202" i="1"/>
  <c r="P3202" i="1"/>
  <c r="O3202" i="1"/>
  <c r="N3202" i="1"/>
  <c r="M3202" i="1"/>
  <c r="K3202" i="1"/>
  <c r="J3202" i="1"/>
  <c r="I3202" i="1"/>
  <c r="H3202" i="1"/>
  <c r="F3202" i="1"/>
  <c r="D3202" i="1"/>
  <c r="B3202" i="1"/>
  <c r="A3202" i="1"/>
  <c r="U3213" i="1"/>
  <c r="R3213" i="1"/>
  <c r="Q3213" i="1"/>
  <c r="P3213" i="1"/>
  <c r="O3213" i="1"/>
  <c r="N3213" i="1"/>
  <c r="M3213" i="1"/>
  <c r="K3213" i="1"/>
  <c r="J3213" i="1"/>
  <c r="I3213" i="1"/>
  <c r="H3213" i="1"/>
  <c r="F3213" i="1"/>
  <c r="D3213" i="1"/>
  <c r="B3213" i="1"/>
  <c r="A3213" i="1"/>
  <c r="U3171" i="1"/>
  <c r="R3171" i="1"/>
  <c r="Q3171" i="1"/>
  <c r="P3171" i="1"/>
  <c r="O3171" i="1"/>
  <c r="N3171" i="1"/>
  <c r="M3171" i="1"/>
  <c r="K3171" i="1"/>
  <c r="J3171" i="1"/>
  <c r="I3171" i="1"/>
  <c r="H3171" i="1"/>
  <c r="F3171" i="1"/>
  <c r="D3171" i="1"/>
  <c r="B3171" i="1"/>
  <c r="A3171" i="1"/>
  <c r="U1936" i="1"/>
  <c r="R1936" i="1"/>
  <c r="Q1936" i="1"/>
  <c r="P1936" i="1"/>
  <c r="O1936" i="1"/>
  <c r="N1936" i="1"/>
  <c r="M1936" i="1"/>
  <c r="K1936" i="1"/>
  <c r="J1936" i="1"/>
  <c r="I1936" i="1"/>
  <c r="H1936" i="1"/>
  <c r="F1936" i="1"/>
  <c r="D1936" i="1"/>
  <c r="B1936" i="1"/>
  <c r="A1936" i="1"/>
  <c r="U1935" i="1"/>
  <c r="R1935" i="1"/>
  <c r="Q1935" i="1"/>
  <c r="P1935" i="1"/>
  <c r="O1935" i="1"/>
  <c r="N1935" i="1"/>
  <c r="M1935" i="1"/>
  <c r="K1935" i="1"/>
  <c r="J1935" i="1"/>
  <c r="I1935" i="1"/>
  <c r="H1935" i="1"/>
  <c r="F1935" i="1"/>
  <c r="D1935" i="1"/>
  <c r="B1935" i="1"/>
  <c r="A1935" i="1"/>
  <c r="U3040" i="1"/>
  <c r="R3040" i="1"/>
  <c r="Q3040" i="1"/>
  <c r="P3040" i="1"/>
  <c r="O3040" i="1"/>
  <c r="N3040" i="1"/>
  <c r="M3040" i="1"/>
  <c r="K3040" i="1"/>
  <c r="J3040" i="1"/>
  <c r="I3040" i="1"/>
  <c r="H3040" i="1"/>
  <c r="F3040" i="1"/>
  <c r="D3040" i="1"/>
  <c r="B3040" i="1"/>
  <c r="A3040" i="1"/>
  <c r="U1934" i="1"/>
  <c r="R1934" i="1"/>
  <c r="Q1934" i="1"/>
  <c r="P1934" i="1"/>
  <c r="O1934" i="1"/>
  <c r="N1934" i="1"/>
  <c r="M1934" i="1"/>
  <c r="K1934" i="1"/>
  <c r="J1934" i="1"/>
  <c r="I1934" i="1"/>
  <c r="H1934" i="1"/>
  <c r="F1934" i="1"/>
  <c r="D1934" i="1"/>
  <c r="B1934" i="1"/>
  <c r="A1934" i="1"/>
  <c r="U1933" i="1"/>
  <c r="R1933" i="1"/>
  <c r="Q1933" i="1"/>
  <c r="P1933" i="1"/>
  <c r="O1933" i="1"/>
  <c r="N1933" i="1"/>
  <c r="M1933" i="1"/>
  <c r="K1933" i="1"/>
  <c r="J1933" i="1"/>
  <c r="I1933" i="1"/>
  <c r="H1933" i="1"/>
  <c r="F1933" i="1"/>
  <c r="D1933" i="1"/>
  <c r="B1933" i="1"/>
  <c r="A1933" i="1"/>
  <c r="U2473" i="1"/>
  <c r="R2473" i="1"/>
  <c r="Q2473" i="1"/>
  <c r="P2473" i="1"/>
  <c r="O2473" i="1"/>
  <c r="N2473" i="1"/>
  <c r="M2473" i="1"/>
  <c r="K2473" i="1"/>
  <c r="J2473" i="1"/>
  <c r="I2473" i="1"/>
  <c r="H2473" i="1"/>
  <c r="F2473" i="1"/>
  <c r="D2473" i="1"/>
  <c r="B2473" i="1"/>
  <c r="A2473" i="1"/>
  <c r="U2269" i="1"/>
  <c r="R2269" i="1"/>
  <c r="Q2269" i="1"/>
  <c r="P2269" i="1"/>
  <c r="O2269" i="1"/>
  <c r="N2269" i="1"/>
  <c r="M2269" i="1"/>
  <c r="K2269" i="1"/>
  <c r="J2269" i="1"/>
  <c r="I2269" i="1"/>
  <c r="H2269" i="1"/>
  <c r="F2269" i="1"/>
  <c r="D2269" i="1"/>
  <c r="B2269" i="1"/>
  <c r="A2269" i="1"/>
  <c r="U2293" i="1"/>
  <c r="R2293" i="1"/>
  <c r="Q2293" i="1"/>
  <c r="P2293" i="1"/>
  <c r="O2293" i="1"/>
  <c r="N2293" i="1"/>
  <c r="M2293" i="1"/>
  <c r="K2293" i="1"/>
  <c r="J2293" i="1"/>
  <c r="I2293" i="1"/>
  <c r="H2293" i="1"/>
  <c r="F2293" i="1"/>
  <c r="E2293" i="1"/>
  <c r="D2293" i="1"/>
  <c r="B2293" i="1"/>
  <c r="A2293" i="1"/>
  <c r="U2350" i="1"/>
  <c r="R2350" i="1"/>
  <c r="Q2350" i="1"/>
  <c r="P2350" i="1"/>
  <c r="O2350" i="1"/>
  <c r="N2350" i="1"/>
  <c r="M2350" i="1"/>
  <c r="K2350" i="1"/>
  <c r="J2350" i="1"/>
  <c r="I2350" i="1"/>
  <c r="H2350" i="1"/>
  <c r="F2350" i="1"/>
  <c r="D2350" i="1"/>
  <c r="B2350" i="1"/>
  <c r="A2350" i="1"/>
  <c r="U2693" i="1"/>
  <c r="R2693" i="1"/>
  <c r="Q2693" i="1"/>
  <c r="P2693" i="1"/>
  <c r="O2693" i="1"/>
  <c r="N2693" i="1"/>
  <c r="M2693" i="1"/>
  <c r="K2693" i="1"/>
  <c r="J2693" i="1"/>
  <c r="I2693" i="1"/>
  <c r="H2693" i="1"/>
  <c r="G2693" i="1"/>
  <c r="F2693" i="1"/>
  <c r="E2693" i="1"/>
  <c r="D2693" i="1"/>
  <c r="B2693" i="1"/>
  <c r="A2693" i="1"/>
  <c r="U2913" i="1"/>
  <c r="R2913" i="1"/>
  <c r="Q2913" i="1"/>
  <c r="P2913" i="1"/>
  <c r="O2913" i="1"/>
  <c r="N2913" i="1"/>
  <c r="M2913" i="1"/>
  <c r="J2913" i="1"/>
  <c r="I2913" i="1"/>
  <c r="H2913" i="1"/>
  <c r="F2913" i="1"/>
  <c r="D2913" i="1"/>
  <c r="B2913" i="1"/>
  <c r="A2913" i="1"/>
  <c r="U2861" i="1"/>
  <c r="R2861" i="1"/>
  <c r="Q2861" i="1"/>
  <c r="P2861" i="1"/>
  <c r="O2861" i="1"/>
  <c r="N2861" i="1"/>
  <c r="M2861" i="1"/>
  <c r="K2861" i="1"/>
  <c r="J2861" i="1"/>
  <c r="I2861" i="1"/>
  <c r="H2861" i="1"/>
  <c r="F2861" i="1"/>
  <c r="D2861" i="1"/>
  <c r="B2861" i="1"/>
  <c r="A2861" i="1"/>
  <c r="U2870" i="1"/>
  <c r="R2870" i="1"/>
  <c r="Q2870" i="1"/>
  <c r="P2870" i="1"/>
  <c r="O2870" i="1"/>
  <c r="N2870" i="1"/>
  <c r="M2870" i="1"/>
  <c r="K2870" i="1"/>
  <c r="J2870" i="1"/>
  <c r="I2870" i="1"/>
  <c r="H2870" i="1"/>
  <c r="F2870" i="1"/>
  <c r="D2870" i="1"/>
  <c r="B2870" i="1"/>
  <c r="A2870" i="1"/>
  <c r="U118" i="1"/>
  <c r="R118" i="1"/>
  <c r="Q118" i="1"/>
  <c r="P118" i="1"/>
  <c r="O118" i="1"/>
  <c r="N118" i="1"/>
  <c r="M118" i="1"/>
  <c r="J118" i="1"/>
  <c r="I118" i="1"/>
  <c r="H118" i="1"/>
  <c r="F118" i="1"/>
  <c r="D118" i="1"/>
  <c r="B118" i="1"/>
  <c r="A118" i="1"/>
  <c r="U180" i="1"/>
  <c r="R180" i="1"/>
  <c r="Q180" i="1"/>
  <c r="P180" i="1"/>
  <c r="O180" i="1"/>
  <c r="N180" i="1"/>
  <c r="M180" i="1"/>
  <c r="J180" i="1"/>
  <c r="I180" i="1"/>
  <c r="H180" i="1"/>
  <c r="F180" i="1"/>
  <c r="D180" i="1"/>
  <c r="B180" i="1"/>
  <c r="A180" i="1"/>
  <c r="U110" i="1"/>
  <c r="R110" i="1"/>
  <c r="Q110" i="1"/>
  <c r="P110" i="1"/>
  <c r="O110" i="1"/>
  <c r="N110" i="1"/>
  <c r="M110" i="1"/>
  <c r="J110" i="1"/>
  <c r="I110" i="1"/>
  <c r="H110" i="1"/>
  <c r="F110" i="1"/>
  <c r="D110" i="1"/>
  <c r="B110" i="1"/>
  <c r="A110" i="1"/>
  <c r="U7" i="1"/>
  <c r="R7" i="1"/>
  <c r="Q7" i="1"/>
  <c r="P7" i="1"/>
  <c r="O7" i="1"/>
  <c r="N7" i="1"/>
  <c r="M7" i="1"/>
  <c r="J7" i="1"/>
  <c r="I7" i="1"/>
  <c r="H7" i="1"/>
  <c r="F7" i="1"/>
  <c r="D7" i="1"/>
  <c r="B7" i="1"/>
  <c r="A7" i="1"/>
  <c r="U102" i="1"/>
  <c r="R102" i="1"/>
  <c r="Q102" i="1"/>
  <c r="P102" i="1"/>
  <c r="O102" i="1"/>
  <c r="N102" i="1"/>
  <c r="M102" i="1"/>
  <c r="J102" i="1"/>
  <c r="I102" i="1"/>
  <c r="H102" i="1"/>
  <c r="F102" i="1"/>
  <c r="D102" i="1"/>
  <c r="B102" i="1"/>
  <c r="A102" i="1"/>
  <c r="U319" i="1"/>
  <c r="R319" i="1"/>
  <c r="Q319" i="1"/>
  <c r="P319" i="1"/>
  <c r="O319" i="1"/>
  <c r="N319" i="1"/>
  <c r="M319" i="1"/>
  <c r="J319" i="1"/>
  <c r="I319" i="1"/>
  <c r="H319" i="1"/>
  <c r="F319" i="1"/>
  <c r="D319" i="1"/>
  <c r="B319" i="1"/>
  <c r="A319" i="1"/>
  <c r="U324" i="1"/>
  <c r="R324" i="1"/>
  <c r="Q324" i="1"/>
  <c r="P324" i="1"/>
  <c r="O324" i="1"/>
  <c r="N324" i="1"/>
  <c r="M324" i="1"/>
  <c r="J324" i="1"/>
  <c r="I324" i="1"/>
  <c r="H324" i="1"/>
  <c r="F324" i="1"/>
  <c r="D324" i="1"/>
  <c r="B324" i="1"/>
  <c r="A324" i="1"/>
  <c r="U240" i="1"/>
  <c r="R240" i="1"/>
  <c r="Q240" i="1"/>
  <c r="P240" i="1"/>
  <c r="O240" i="1"/>
  <c r="N240" i="1"/>
  <c r="M240" i="1"/>
  <c r="J240" i="1"/>
  <c r="I240" i="1"/>
  <c r="H240" i="1"/>
  <c r="F240" i="1"/>
  <c r="E240" i="1"/>
  <c r="D240" i="1"/>
  <c r="B240" i="1"/>
  <c r="A240" i="1"/>
  <c r="U411" i="1"/>
  <c r="R411" i="1"/>
  <c r="Q411" i="1"/>
  <c r="P411" i="1"/>
  <c r="O411" i="1"/>
  <c r="N411" i="1"/>
  <c r="M411" i="1"/>
  <c r="I411" i="1"/>
  <c r="H411" i="1"/>
  <c r="F411" i="1"/>
  <c r="D411" i="1"/>
  <c r="B411" i="1"/>
  <c r="A411" i="1"/>
  <c r="U475" i="1"/>
  <c r="R475" i="1"/>
  <c r="Q475" i="1"/>
  <c r="P475" i="1"/>
  <c r="O475" i="1"/>
  <c r="N475" i="1"/>
  <c r="M475" i="1"/>
  <c r="J475" i="1"/>
  <c r="I475" i="1"/>
  <c r="H475" i="1"/>
  <c r="F475" i="1"/>
  <c r="D475" i="1"/>
  <c r="B475" i="1"/>
  <c r="A475" i="1"/>
  <c r="U226" i="1"/>
  <c r="R226" i="1"/>
  <c r="Q226" i="1"/>
  <c r="P226" i="1"/>
  <c r="O226" i="1"/>
  <c r="N226" i="1"/>
  <c r="M226" i="1"/>
  <c r="J226" i="1"/>
  <c r="I226" i="1"/>
  <c r="H226" i="1"/>
  <c r="F226" i="1"/>
  <c r="D226" i="1"/>
  <c r="B226" i="1"/>
  <c r="A226" i="1"/>
  <c r="U318" i="1"/>
  <c r="R318" i="1"/>
  <c r="Q318" i="1"/>
  <c r="P318" i="1"/>
  <c r="O318" i="1"/>
  <c r="N318" i="1"/>
  <c r="M318" i="1"/>
  <c r="I318" i="1"/>
  <c r="H318" i="1"/>
  <c r="F318" i="1"/>
  <c r="D318" i="1"/>
  <c r="B318" i="1"/>
  <c r="A318" i="1"/>
  <c r="U486" i="1"/>
  <c r="R486" i="1"/>
  <c r="Q486" i="1"/>
  <c r="P486" i="1"/>
  <c r="O486" i="1"/>
  <c r="N486" i="1"/>
  <c r="M486" i="1"/>
  <c r="J486" i="1"/>
  <c r="I486" i="1"/>
  <c r="H486" i="1"/>
  <c r="F486" i="1"/>
  <c r="D486" i="1"/>
  <c r="B486" i="1"/>
  <c r="A486" i="1"/>
  <c r="U584" i="1"/>
  <c r="R584" i="1"/>
  <c r="Q584" i="1"/>
  <c r="P584" i="1"/>
  <c r="O584" i="1"/>
  <c r="N584" i="1"/>
  <c r="M584" i="1"/>
  <c r="J584" i="1"/>
  <c r="I584" i="1"/>
  <c r="H584" i="1"/>
  <c r="F584" i="1"/>
  <c r="D584" i="1"/>
  <c r="B584" i="1"/>
  <c r="A584" i="1"/>
  <c r="U492" i="1"/>
  <c r="R492" i="1"/>
  <c r="Q492" i="1"/>
  <c r="P492" i="1"/>
  <c r="O492" i="1"/>
  <c r="N492" i="1"/>
  <c r="M492" i="1"/>
  <c r="J492" i="1"/>
  <c r="I492" i="1"/>
  <c r="H492" i="1"/>
  <c r="F492" i="1"/>
  <c r="E492" i="1"/>
  <c r="D492" i="1"/>
  <c r="B492" i="1"/>
  <c r="A492" i="1"/>
  <c r="U274" i="1"/>
  <c r="R274" i="1"/>
  <c r="Q274" i="1"/>
  <c r="P274" i="1"/>
  <c r="O274" i="1"/>
  <c r="N274" i="1"/>
  <c r="M274" i="1"/>
  <c r="J274" i="1"/>
  <c r="I274" i="1"/>
  <c r="H274" i="1"/>
  <c r="G274" i="1"/>
  <c r="F274" i="1"/>
  <c r="D274" i="1"/>
  <c r="B274" i="1"/>
  <c r="A274" i="1"/>
  <c r="U682" i="1"/>
  <c r="R682" i="1"/>
  <c r="Q682" i="1"/>
  <c r="P682" i="1"/>
  <c r="O682" i="1"/>
  <c r="N682" i="1"/>
  <c r="M682" i="1"/>
  <c r="J682" i="1"/>
  <c r="I682" i="1"/>
  <c r="H682" i="1"/>
  <c r="F682" i="1"/>
  <c r="D682" i="1"/>
  <c r="B682" i="1"/>
  <c r="A682" i="1"/>
  <c r="U697" i="1"/>
  <c r="R697" i="1"/>
  <c r="Q697" i="1"/>
  <c r="P697" i="1"/>
  <c r="O697" i="1"/>
  <c r="N697" i="1"/>
  <c r="M697" i="1"/>
  <c r="I697" i="1"/>
  <c r="H697" i="1"/>
  <c r="F697" i="1"/>
  <c r="D697" i="1"/>
  <c r="B697" i="1"/>
  <c r="A697" i="1"/>
  <c r="U457" i="1"/>
  <c r="R457" i="1"/>
  <c r="Q457" i="1"/>
  <c r="P457" i="1"/>
  <c r="O457" i="1"/>
  <c r="N457" i="1"/>
  <c r="M457" i="1"/>
  <c r="I457" i="1"/>
  <c r="H457" i="1"/>
  <c r="G457" i="1"/>
  <c r="F457" i="1"/>
  <c r="D457" i="1"/>
  <c r="B457" i="1"/>
  <c r="A457" i="1"/>
  <c r="U660" i="1"/>
  <c r="R660" i="1"/>
  <c r="Q660" i="1"/>
  <c r="P660" i="1"/>
  <c r="O660" i="1"/>
  <c r="N660" i="1"/>
  <c r="M660" i="1"/>
  <c r="I660" i="1"/>
  <c r="H660" i="1"/>
  <c r="F660" i="1"/>
  <c r="D660" i="1"/>
  <c r="B660" i="1"/>
  <c r="A660" i="1"/>
  <c r="U703" i="1"/>
  <c r="R703" i="1"/>
  <c r="Q703" i="1"/>
  <c r="P703" i="1"/>
  <c r="O703" i="1"/>
  <c r="N703" i="1"/>
  <c r="M703" i="1"/>
  <c r="I703" i="1"/>
  <c r="H703" i="1"/>
  <c r="G703" i="1"/>
  <c r="F703" i="1"/>
  <c r="D703" i="1"/>
  <c r="B703" i="1"/>
  <c r="A703" i="1"/>
  <c r="U767" i="1"/>
  <c r="R767" i="1"/>
  <c r="Q767" i="1"/>
  <c r="P767" i="1"/>
  <c r="O767" i="1"/>
  <c r="N767" i="1"/>
  <c r="M767" i="1"/>
  <c r="J767" i="1"/>
  <c r="I767" i="1"/>
  <c r="H767" i="1"/>
  <c r="F767" i="1"/>
  <c r="D767" i="1"/>
  <c r="B767" i="1"/>
  <c r="A767" i="1"/>
  <c r="U425" i="1"/>
  <c r="R425" i="1"/>
  <c r="Q425" i="1"/>
  <c r="P425" i="1"/>
  <c r="O425" i="1"/>
  <c r="N425" i="1"/>
  <c r="M425" i="1"/>
  <c r="I425" i="1"/>
  <c r="H425" i="1"/>
  <c r="F425" i="1"/>
  <c r="D425" i="1"/>
  <c r="B425" i="1"/>
  <c r="A425" i="1"/>
  <c r="U481" i="1"/>
  <c r="R481" i="1"/>
  <c r="Q481" i="1"/>
  <c r="P481" i="1"/>
  <c r="O481" i="1"/>
  <c r="N481" i="1"/>
  <c r="M481" i="1"/>
  <c r="J481" i="1"/>
  <c r="I481" i="1"/>
  <c r="H481" i="1"/>
  <c r="F481" i="1"/>
  <c r="D481" i="1"/>
  <c r="B481" i="1"/>
  <c r="A481" i="1"/>
  <c r="U574" i="1"/>
  <c r="R574" i="1"/>
  <c r="Q574" i="1"/>
  <c r="P574" i="1"/>
  <c r="O574" i="1"/>
  <c r="N574" i="1"/>
  <c r="M574" i="1"/>
  <c r="I574" i="1"/>
  <c r="H574" i="1"/>
  <c r="F574" i="1"/>
  <c r="D574" i="1"/>
  <c r="A574" i="1"/>
  <c r="U696" i="1"/>
  <c r="R696" i="1"/>
  <c r="Q696" i="1"/>
  <c r="P696" i="1"/>
  <c r="O696" i="1"/>
  <c r="N696" i="1"/>
  <c r="M696" i="1"/>
  <c r="J696" i="1"/>
  <c r="I696" i="1"/>
  <c r="H696" i="1"/>
  <c r="F696" i="1"/>
  <c r="D696" i="1"/>
  <c r="B696" i="1"/>
  <c r="A696" i="1"/>
  <c r="U688" i="1"/>
  <c r="R688" i="1"/>
  <c r="Q688" i="1"/>
  <c r="P688" i="1"/>
  <c r="O688" i="1"/>
  <c r="N688" i="1"/>
  <c r="M688" i="1"/>
  <c r="I688" i="1"/>
  <c r="H688" i="1"/>
  <c r="F688" i="1"/>
  <c r="D688" i="1"/>
  <c r="B688" i="1"/>
  <c r="A688" i="1"/>
  <c r="U516" i="1"/>
  <c r="R516" i="1"/>
  <c r="Q516" i="1"/>
  <c r="P516" i="1"/>
  <c r="O516" i="1"/>
  <c r="N516" i="1"/>
  <c r="M516" i="1"/>
  <c r="J516" i="1"/>
  <c r="I516" i="1"/>
  <c r="H516" i="1"/>
  <c r="F516" i="1"/>
  <c r="D516" i="1"/>
  <c r="B516" i="1"/>
  <c r="A516" i="1"/>
  <c r="U929" i="1"/>
  <c r="R929" i="1"/>
  <c r="Q929" i="1"/>
  <c r="P929" i="1"/>
  <c r="O929" i="1"/>
  <c r="N929" i="1"/>
  <c r="M929" i="1"/>
  <c r="J929" i="1"/>
  <c r="I929" i="1"/>
  <c r="H929" i="1"/>
  <c r="F929" i="1"/>
  <c r="D929" i="1"/>
  <c r="B929" i="1"/>
  <c r="A929" i="1"/>
  <c r="U882" i="1"/>
  <c r="R882" i="1"/>
  <c r="Q882" i="1"/>
  <c r="P882" i="1"/>
  <c r="O882" i="1"/>
  <c r="N882" i="1"/>
  <c r="M882" i="1"/>
  <c r="I882" i="1"/>
  <c r="H882" i="1"/>
  <c r="G882" i="1"/>
  <c r="F882" i="1"/>
  <c r="D882" i="1"/>
  <c r="B882" i="1"/>
  <c r="A882" i="1"/>
  <c r="U707" i="1"/>
  <c r="R707" i="1"/>
  <c r="Q707" i="1"/>
  <c r="P707" i="1"/>
  <c r="O707" i="1"/>
  <c r="N707" i="1"/>
  <c r="M707" i="1"/>
  <c r="J707" i="1"/>
  <c r="I707" i="1"/>
  <c r="H707" i="1"/>
  <c r="F707" i="1"/>
  <c r="D707" i="1"/>
  <c r="B707" i="1"/>
  <c r="A707" i="1"/>
  <c r="U986" i="1"/>
  <c r="R986" i="1"/>
  <c r="Q986" i="1"/>
  <c r="P986" i="1"/>
  <c r="O986" i="1"/>
  <c r="N986" i="1"/>
  <c r="M986" i="1"/>
  <c r="I986" i="1"/>
  <c r="H986" i="1"/>
  <c r="F986" i="1"/>
  <c r="D986" i="1"/>
  <c r="B986" i="1"/>
  <c r="A986" i="1"/>
  <c r="U948" i="1"/>
  <c r="R948" i="1"/>
  <c r="Q948" i="1"/>
  <c r="P948" i="1"/>
  <c r="O948" i="1"/>
  <c r="N948" i="1"/>
  <c r="M948" i="1"/>
  <c r="I948" i="1"/>
  <c r="H948" i="1"/>
  <c r="F948" i="1"/>
  <c r="D948" i="1"/>
  <c r="B948" i="1"/>
  <c r="A948" i="1"/>
  <c r="U841" i="1"/>
  <c r="R841" i="1"/>
  <c r="Q841" i="1"/>
  <c r="P841" i="1"/>
  <c r="O841" i="1"/>
  <c r="N841" i="1"/>
  <c r="M841" i="1"/>
  <c r="J841" i="1"/>
  <c r="I841" i="1"/>
  <c r="H841" i="1"/>
  <c r="F841" i="1"/>
  <c r="D841" i="1"/>
  <c r="B841" i="1"/>
  <c r="A841" i="1"/>
  <c r="U895" i="1"/>
  <c r="R895" i="1"/>
  <c r="Q895" i="1"/>
  <c r="P895" i="1"/>
  <c r="O895" i="1"/>
  <c r="N895" i="1"/>
  <c r="M895" i="1"/>
  <c r="J895" i="1"/>
  <c r="I895" i="1"/>
  <c r="H895" i="1"/>
  <c r="F895" i="1"/>
  <c r="D895" i="1"/>
  <c r="B895" i="1"/>
  <c r="A895" i="1"/>
  <c r="U981" i="1"/>
  <c r="R981" i="1"/>
  <c r="Q981" i="1"/>
  <c r="P981" i="1"/>
  <c r="O981" i="1"/>
  <c r="N981" i="1"/>
  <c r="M981" i="1"/>
  <c r="J981" i="1"/>
  <c r="I981" i="1"/>
  <c r="H981" i="1"/>
  <c r="F981" i="1"/>
  <c r="D981" i="1"/>
  <c r="B981" i="1"/>
  <c r="A981" i="1"/>
  <c r="U938" i="1"/>
  <c r="R938" i="1"/>
  <c r="Q938" i="1"/>
  <c r="P938" i="1"/>
  <c r="O938" i="1"/>
  <c r="N938" i="1"/>
  <c r="M938" i="1"/>
  <c r="J938" i="1"/>
  <c r="I938" i="1"/>
  <c r="H938" i="1"/>
  <c r="F938" i="1"/>
  <c r="D938" i="1"/>
  <c r="B938" i="1"/>
  <c r="A938" i="1"/>
  <c r="U817" i="1"/>
  <c r="R817" i="1"/>
  <c r="Q817" i="1"/>
  <c r="P817" i="1"/>
  <c r="O817" i="1"/>
  <c r="N817" i="1"/>
  <c r="M817" i="1"/>
  <c r="I817" i="1"/>
  <c r="H817" i="1"/>
  <c r="F817" i="1"/>
  <c r="D817" i="1"/>
  <c r="B817" i="1"/>
  <c r="A817" i="1"/>
  <c r="U970" i="1"/>
  <c r="R970" i="1"/>
  <c r="Q970" i="1"/>
  <c r="P970" i="1"/>
  <c r="O970" i="1"/>
  <c r="N970" i="1"/>
  <c r="M970" i="1"/>
  <c r="J970" i="1"/>
  <c r="I970" i="1"/>
  <c r="H970" i="1"/>
  <c r="F970" i="1"/>
  <c r="D970" i="1"/>
  <c r="B970" i="1"/>
  <c r="A970" i="1"/>
  <c r="U201" i="1"/>
  <c r="R201" i="1"/>
  <c r="Q201" i="1"/>
  <c r="P201" i="1"/>
  <c r="O201" i="1"/>
  <c r="N201" i="1"/>
  <c r="M201" i="1"/>
  <c r="J201" i="1"/>
  <c r="I201" i="1"/>
  <c r="H201" i="1"/>
  <c r="F201" i="1"/>
  <c r="D201" i="1"/>
  <c r="B201" i="1"/>
  <c r="A201" i="1"/>
  <c r="U989" i="1"/>
  <c r="R989" i="1"/>
  <c r="Q989" i="1"/>
  <c r="P989" i="1"/>
  <c r="O989" i="1"/>
  <c r="N989" i="1"/>
  <c r="M989" i="1"/>
  <c r="J989" i="1"/>
  <c r="I989" i="1"/>
  <c r="H989" i="1"/>
  <c r="F989" i="1"/>
  <c r="E989" i="1"/>
  <c r="D989" i="1"/>
  <c r="B989" i="1"/>
  <c r="A989" i="1"/>
  <c r="U1243" i="1"/>
  <c r="R1243" i="1"/>
  <c r="Q1243" i="1"/>
  <c r="P1243" i="1"/>
  <c r="O1243" i="1"/>
  <c r="N1243" i="1"/>
  <c r="M1243" i="1"/>
  <c r="I1243" i="1"/>
  <c r="H1243" i="1"/>
  <c r="F1243" i="1"/>
  <c r="D1243" i="1"/>
  <c r="A1243" i="1"/>
  <c r="U1373" i="1"/>
  <c r="R1373" i="1"/>
  <c r="Q1373" i="1"/>
  <c r="P1373" i="1"/>
  <c r="O1373" i="1"/>
  <c r="N1373" i="1"/>
  <c r="M1373" i="1"/>
  <c r="J1373" i="1"/>
  <c r="I1373" i="1"/>
  <c r="H1373" i="1"/>
  <c r="F1373" i="1"/>
  <c r="D1373" i="1"/>
  <c r="B1373" i="1"/>
  <c r="A1373" i="1"/>
  <c r="U1376" i="1"/>
  <c r="R1376" i="1"/>
  <c r="Q1376" i="1"/>
  <c r="P1376" i="1"/>
  <c r="O1376" i="1"/>
  <c r="N1376" i="1"/>
  <c r="M1376" i="1"/>
  <c r="I1376" i="1"/>
  <c r="H1376" i="1"/>
  <c r="G1376" i="1"/>
  <c r="F1376" i="1"/>
  <c r="E1376" i="1"/>
  <c r="D1376" i="1"/>
  <c r="B1376" i="1"/>
  <c r="A1376" i="1"/>
  <c r="U1397" i="1"/>
  <c r="R1397" i="1"/>
  <c r="Q1397" i="1"/>
  <c r="P1397" i="1"/>
  <c r="O1397" i="1"/>
  <c r="N1397" i="1"/>
  <c r="M1397" i="1"/>
  <c r="I1397" i="1"/>
  <c r="H1397" i="1"/>
  <c r="F1397" i="1"/>
  <c r="D1397" i="1"/>
  <c r="B1397" i="1"/>
  <c r="A1397" i="1"/>
  <c r="U1396" i="1"/>
  <c r="R1396" i="1"/>
  <c r="Q1396" i="1"/>
  <c r="P1396" i="1"/>
  <c r="O1396" i="1"/>
  <c r="N1396" i="1"/>
  <c r="M1396" i="1"/>
  <c r="I1396" i="1"/>
  <c r="H1396" i="1"/>
  <c r="F1396" i="1"/>
  <c r="E1396" i="1"/>
  <c r="D1396" i="1"/>
  <c r="A1396" i="1"/>
  <c r="U1486" i="1"/>
  <c r="R1486" i="1"/>
  <c r="Q1486" i="1"/>
  <c r="P1486" i="1"/>
  <c r="O1486" i="1"/>
  <c r="N1486" i="1"/>
  <c r="M1486" i="1"/>
  <c r="J1486" i="1"/>
  <c r="I1486" i="1"/>
  <c r="H1486" i="1"/>
  <c r="F1486" i="1"/>
  <c r="E1486" i="1"/>
  <c r="D1486" i="1"/>
  <c r="B1486" i="1"/>
  <c r="A1486" i="1"/>
  <c r="U1551" i="1"/>
  <c r="R1551" i="1"/>
  <c r="Q1551" i="1"/>
  <c r="P1551" i="1"/>
  <c r="O1551" i="1"/>
  <c r="N1551" i="1"/>
  <c r="M1551" i="1"/>
  <c r="J1551" i="1"/>
  <c r="I1551" i="1"/>
  <c r="H1551" i="1"/>
  <c r="F1551" i="1"/>
  <c r="D1551" i="1"/>
  <c r="B1551" i="1"/>
  <c r="A1551" i="1"/>
  <c r="U1614" i="1"/>
  <c r="R1614" i="1"/>
  <c r="Q1614" i="1"/>
  <c r="P1614" i="1"/>
  <c r="O1614" i="1"/>
  <c r="N1614" i="1"/>
  <c r="M1614" i="1"/>
  <c r="J1614" i="1"/>
  <c r="I1614" i="1"/>
  <c r="H1614" i="1"/>
  <c r="F1614" i="1"/>
  <c r="D1614" i="1"/>
  <c r="B1614" i="1"/>
  <c r="A1614" i="1"/>
  <c r="U1645" i="1"/>
  <c r="R1645" i="1"/>
  <c r="Q1645" i="1"/>
  <c r="P1645" i="1"/>
  <c r="O1645" i="1"/>
  <c r="N1645" i="1"/>
  <c r="M1645" i="1"/>
  <c r="I1645" i="1"/>
  <c r="H1645" i="1"/>
  <c r="F1645" i="1"/>
  <c r="D1645" i="1"/>
  <c r="B1645" i="1"/>
  <c r="A1645" i="1"/>
  <c r="U1656" i="1"/>
  <c r="R1656" i="1"/>
  <c r="Q1656" i="1"/>
  <c r="P1656" i="1"/>
  <c r="O1656" i="1"/>
  <c r="N1656" i="1"/>
  <c r="M1656" i="1"/>
  <c r="I1656" i="1"/>
  <c r="H1656" i="1"/>
  <c r="F1656" i="1"/>
  <c r="D1656" i="1"/>
  <c r="A1656" i="1"/>
  <c r="U1689" i="1"/>
  <c r="R1689" i="1"/>
  <c r="Q1689" i="1"/>
  <c r="P1689" i="1"/>
  <c r="O1689" i="1"/>
  <c r="N1689" i="1"/>
  <c r="M1689" i="1"/>
  <c r="K1689" i="1"/>
  <c r="J1689" i="1"/>
  <c r="I1689" i="1"/>
  <c r="H1689" i="1"/>
  <c r="F1689" i="1"/>
  <c r="E1689" i="1"/>
  <c r="D1689" i="1"/>
  <c r="B1689" i="1"/>
  <c r="A1689" i="1"/>
  <c r="U1773" i="1"/>
  <c r="R1773" i="1"/>
  <c r="Q1773" i="1"/>
  <c r="P1773" i="1"/>
  <c r="O1773" i="1"/>
  <c r="N1773" i="1"/>
  <c r="M1773" i="1"/>
  <c r="J1773" i="1"/>
  <c r="I1773" i="1"/>
  <c r="H1773" i="1"/>
  <c r="F1773" i="1"/>
  <c r="D1773" i="1"/>
  <c r="A1773" i="1"/>
  <c r="U1804" i="1"/>
  <c r="R1804" i="1"/>
  <c r="Q1804" i="1"/>
  <c r="P1804" i="1"/>
  <c r="O1804" i="1"/>
  <c r="N1804" i="1"/>
  <c r="M1804" i="1"/>
  <c r="I1804" i="1"/>
  <c r="H1804" i="1"/>
  <c r="F1804" i="1"/>
  <c r="D1804" i="1"/>
  <c r="A1804" i="1"/>
  <c r="U1915" i="1"/>
  <c r="R1915" i="1"/>
  <c r="Q1915" i="1"/>
  <c r="P1915" i="1"/>
  <c r="O1915" i="1"/>
  <c r="N1915" i="1"/>
  <c r="M1915" i="1"/>
  <c r="K1915" i="1"/>
  <c r="J1915" i="1"/>
  <c r="I1915" i="1"/>
  <c r="H1915" i="1"/>
  <c r="F1915" i="1"/>
  <c r="D1915" i="1"/>
  <c r="B1915" i="1"/>
  <c r="A1915" i="1"/>
  <c r="U2016" i="1"/>
  <c r="R2016" i="1"/>
  <c r="Q2016" i="1"/>
  <c r="P2016" i="1"/>
  <c r="O2016" i="1"/>
  <c r="N2016" i="1"/>
  <c r="M2016" i="1"/>
  <c r="K2016" i="1"/>
  <c r="J2016" i="1"/>
  <c r="I2016" i="1"/>
  <c r="H2016" i="1"/>
  <c r="G2016" i="1"/>
  <c r="F2016" i="1"/>
  <c r="D2016" i="1"/>
  <c r="B2016" i="1"/>
  <c r="A2016" i="1"/>
  <c r="U1932" i="1"/>
  <c r="R1932" i="1"/>
  <c r="Q1932" i="1"/>
  <c r="P1932" i="1"/>
  <c r="O1932" i="1"/>
  <c r="N1932" i="1"/>
  <c r="M1932" i="1"/>
  <c r="K1932" i="1"/>
  <c r="J1932" i="1"/>
  <c r="I1932" i="1"/>
  <c r="H1932" i="1"/>
  <c r="F1932" i="1"/>
  <c r="D1932" i="1"/>
  <c r="B1932" i="1"/>
  <c r="A1932" i="1"/>
  <c r="U3075" i="1"/>
  <c r="R3075" i="1"/>
  <c r="Q3075" i="1"/>
  <c r="P3075" i="1"/>
  <c r="O3075" i="1"/>
  <c r="N3075" i="1"/>
  <c r="M3075" i="1"/>
  <c r="K3075" i="1"/>
  <c r="J3075" i="1"/>
  <c r="I3075" i="1"/>
  <c r="H3075" i="1"/>
  <c r="F3075" i="1"/>
  <c r="D3075" i="1"/>
  <c r="B3075" i="1"/>
  <c r="A3075" i="1"/>
  <c r="U2391" i="1"/>
  <c r="R2391" i="1"/>
  <c r="Q2391" i="1"/>
  <c r="P2391" i="1"/>
  <c r="O2391" i="1"/>
  <c r="N2391" i="1"/>
  <c r="M2391" i="1"/>
  <c r="K2391" i="1"/>
  <c r="J2391" i="1"/>
  <c r="I2391" i="1"/>
  <c r="H2391" i="1"/>
  <c r="F2391" i="1"/>
  <c r="D2391" i="1"/>
  <c r="B2391" i="1"/>
  <c r="A2391" i="1"/>
  <c r="U2603" i="1"/>
  <c r="R2603" i="1"/>
  <c r="Q2603" i="1"/>
  <c r="P2603" i="1"/>
  <c r="O2603" i="1"/>
  <c r="N2603" i="1"/>
  <c r="M2603" i="1"/>
  <c r="J2603" i="1"/>
  <c r="I2603" i="1"/>
  <c r="H2603" i="1"/>
  <c r="F2603" i="1"/>
  <c r="D2603" i="1"/>
  <c r="B2603" i="1"/>
  <c r="A2603" i="1"/>
  <c r="U1931" i="1"/>
  <c r="R1931" i="1"/>
  <c r="Q1931" i="1"/>
  <c r="P1931" i="1"/>
  <c r="O1931" i="1"/>
  <c r="N1931" i="1"/>
  <c r="M1931" i="1"/>
  <c r="J1931" i="1"/>
  <c r="I1931" i="1"/>
  <c r="H1931" i="1"/>
  <c r="F1931" i="1"/>
  <c r="D1931" i="1"/>
  <c r="B1931" i="1"/>
  <c r="A1931" i="1"/>
  <c r="U3030" i="1"/>
  <c r="R3030" i="1"/>
  <c r="Q3030" i="1"/>
  <c r="P3030" i="1"/>
  <c r="O3030" i="1"/>
  <c r="N3030" i="1"/>
  <c r="M3030" i="1"/>
  <c r="K3030" i="1"/>
  <c r="J3030" i="1"/>
  <c r="I3030" i="1"/>
  <c r="H3030" i="1"/>
  <c r="F3030" i="1"/>
  <c r="D3030" i="1"/>
  <c r="B3030" i="1"/>
  <c r="A3030" i="1"/>
  <c r="U2400" i="1"/>
  <c r="R2400" i="1"/>
  <c r="Q2400" i="1"/>
  <c r="P2400" i="1"/>
  <c r="O2400" i="1"/>
  <c r="N2400" i="1"/>
  <c r="M2400" i="1"/>
  <c r="K2400" i="1"/>
  <c r="J2400" i="1"/>
  <c r="I2400" i="1"/>
  <c r="H2400" i="1"/>
  <c r="F2400" i="1"/>
  <c r="E2400" i="1"/>
  <c r="D2400" i="1"/>
  <c r="B2400" i="1"/>
  <c r="A2400" i="1"/>
  <c r="U3148" i="1"/>
  <c r="R3148" i="1"/>
  <c r="Q3148" i="1"/>
  <c r="P3148" i="1"/>
  <c r="O3148" i="1"/>
  <c r="N3148" i="1"/>
  <c r="M3148" i="1"/>
  <c r="J3148" i="1"/>
  <c r="I3148" i="1"/>
  <c r="H3148" i="1"/>
  <c r="F3148" i="1"/>
  <c r="D3148" i="1"/>
  <c r="B3148" i="1"/>
  <c r="A3148" i="1"/>
  <c r="U2435" i="1"/>
  <c r="R2435" i="1"/>
  <c r="Q2435" i="1"/>
  <c r="P2435" i="1"/>
  <c r="O2435" i="1"/>
  <c r="N2435" i="1"/>
  <c r="M2435" i="1"/>
  <c r="K2435" i="1"/>
  <c r="J2435" i="1"/>
  <c r="I2435" i="1"/>
  <c r="H2435" i="1"/>
  <c r="G2435" i="1"/>
  <c r="F2435" i="1"/>
  <c r="D2435" i="1"/>
  <c r="B2435" i="1"/>
  <c r="A2435" i="1"/>
  <c r="U2485" i="1"/>
  <c r="R2485" i="1"/>
  <c r="Q2485" i="1"/>
  <c r="P2485" i="1"/>
  <c r="O2485" i="1"/>
  <c r="N2485" i="1"/>
  <c r="M2485" i="1"/>
  <c r="K2485" i="1"/>
  <c r="J2485" i="1"/>
  <c r="I2485" i="1"/>
  <c r="H2485" i="1"/>
  <c r="F2485" i="1"/>
  <c r="D2485" i="1"/>
  <c r="B2485" i="1"/>
  <c r="A2485" i="1"/>
  <c r="U972" i="1"/>
  <c r="R972" i="1"/>
  <c r="Q972" i="1"/>
  <c r="P972" i="1"/>
  <c r="O972" i="1"/>
  <c r="N972" i="1"/>
  <c r="M972" i="1"/>
  <c r="I972" i="1"/>
  <c r="H972" i="1"/>
  <c r="F972" i="1"/>
  <c r="E972" i="1"/>
  <c r="D972" i="1"/>
  <c r="B972" i="1"/>
  <c r="A972" i="1"/>
  <c r="U1851" i="1"/>
  <c r="R1851" i="1"/>
  <c r="Q1851" i="1"/>
  <c r="P1851" i="1"/>
  <c r="O1851" i="1"/>
  <c r="N1851" i="1"/>
  <c r="M1851" i="1"/>
  <c r="J1851" i="1"/>
  <c r="I1851" i="1"/>
  <c r="H1851" i="1"/>
  <c r="F1851" i="1"/>
  <c r="D1851" i="1"/>
  <c r="B1851" i="1"/>
  <c r="A1851" i="1"/>
  <c r="U2699" i="1"/>
  <c r="R2699" i="1"/>
  <c r="Q2699" i="1"/>
  <c r="P2699" i="1"/>
  <c r="O2699" i="1"/>
  <c r="N2699" i="1"/>
  <c r="M2699" i="1"/>
  <c r="J2699" i="1"/>
  <c r="I2699" i="1"/>
  <c r="H2699" i="1"/>
  <c r="F2699" i="1"/>
  <c r="D2699" i="1"/>
  <c r="B2699" i="1"/>
  <c r="A2699" i="1"/>
  <c r="U2164" i="1"/>
  <c r="R2164" i="1"/>
  <c r="Q2164" i="1"/>
  <c r="P2164" i="1"/>
  <c r="O2164" i="1"/>
  <c r="N2164" i="1"/>
  <c r="M2164" i="1"/>
  <c r="K2164" i="1"/>
  <c r="J2164" i="1"/>
  <c r="I2164" i="1"/>
  <c r="H2164" i="1"/>
  <c r="F2164" i="1"/>
  <c r="D2164" i="1"/>
  <c r="B2164" i="1"/>
  <c r="A2164" i="1"/>
  <c r="U3147" i="1"/>
  <c r="R3147" i="1"/>
  <c r="Q3147" i="1"/>
  <c r="P3147" i="1"/>
  <c r="O3147" i="1"/>
  <c r="N3147" i="1"/>
  <c r="M3147" i="1"/>
  <c r="K3147" i="1"/>
  <c r="J3147" i="1"/>
  <c r="I3147" i="1"/>
  <c r="H3147" i="1"/>
  <c r="F3147" i="1"/>
  <c r="D3147" i="1"/>
  <c r="B3147" i="1"/>
  <c r="A3147" i="1"/>
  <c r="U3059" i="1"/>
  <c r="R3059" i="1"/>
  <c r="Q3059" i="1"/>
  <c r="P3059" i="1"/>
  <c r="O3059" i="1"/>
  <c r="N3059" i="1"/>
  <c r="M3059" i="1"/>
  <c r="K3059" i="1"/>
  <c r="J3059" i="1"/>
  <c r="I3059" i="1"/>
  <c r="H3059" i="1"/>
  <c r="F3059" i="1"/>
  <c r="D3059" i="1"/>
  <c r="B3059" i="1"/>
  <c r="A3059" i="1"/>
  <c r="U22" i="1"/>
  <c r="R22" i="1"/>
  <c r="Q22" i="1"/>
  <c r="P22" i="1"/>
  <c r="O22" i="1"/>
  <c r="N22" i="1"/>
  <c r="M22" i="1"/>
  <c r="I22" i="1"/>
  <c r="H22" i="1"/>
  <c r="F22" i="1"/>
  <c r="D22" i="1"/>
  <c r="B22" i="1"/>
  <c r="A22" i="1"/>
  <c r="U488" i="1"/>
  <c r="R488" i="1"/>
  <c r="Q488" i="1"/>
  <c r="P488" i="1"/>
  <c r="O488" i="1"/>
  <c r="N488" i="1"/>
  <c r="M488" i="1"/>
  <c r="J488" i="1"/>
  <c r="I488" i="1"/>
  <c r="H488" i="1"/>
  <c r="F488" i="1"/>
  <c r="D488" i="1"/>
  <c r="A488" i="1"/>
  <c r="U1247" i="1"/>
  <c r="R1247" i="1"/>
  <c r="Q1247" i="1"/>
  <c r="P1247" i="1"/>
  <c r="O1247" i="1"/>
  <c r="N1247" i="1"/>
  <c r="M1247" i="1"/>
  <c r="I1247" i="1"/>
  <c r="H1247" i="1"/>
  <c r="F1247" i="1"/>
  <c r="D1247" i="1"/>
  <c r="B1247" i="1"/>
  <c r="A1247" i="1"/>
  <c r="U1076" i="1"/>
  <c r="R1076" i="1"/>
  <c r="Q1076" i="1"/>
  <c r="P1076" i="1"/>
  <c r="O1076" i="1"/>
  <c r="N1076" i="1"/>
  <c r="M1076" i="1"/>
  <c r="J1076" i="1"/>
  <c r="I1076" i="1"/>
  <c r="H1076" i="1"/>
  <c r="F1076" i="1"/>
  <c r="D1076" i="1"/>
  <c r="B1076" i="1"/>
  <c r="A1076" i="1"/>
  <c r="U1260" i="1"/>
  <c r="R1260" i="1"/>
  <c r="Q1260" i="1"/>
  <c r="P1260" i="1"/>
  <c r="O1260" i="1"/>
  <c r="N1260" i="1"/>
  <c r="M1260" i="1"/>
  <c r="I1260" i="1"/>
  <c r="H1260" i="1"/>
  <c r="F1260" i="1"/>
  <c r="D1260" i="1"/>
  <c r="B1260" i="1"/>
  <c r="A1260" i="1"/>
  <c r="U1451" i="1"/>
  <c r="R1451" i="1"/>
  <c r="Q1451" i="1"/>
  <c r="P1451" i="1"/>
  <c r="O1451" i="1"/>
  <c r="N1451" i="1"/>
  <c r="M1451" i="1"/>
  <c r="I1451" i="1"/>
  <c r="H1451" i="1"/>
  <c r="F1451" i="1"/>
  <c r="D1451" i="1"/>
  <c r="B1451" i="1"/>
  <c r="A1451" i="1"/>
  <c r="U1450" i="1"/>
  <c r="R1450" i="1"/>
  <c r="Q1450" i="1"/>
  <c r="P1450" i="1"/>
  <c r="O1450" i="1"/>
  <c r="N1450" i="1"/>
  <c r="M1450" i="1"/>
  <c r="I1450" i="1"/>
  <c r="H1450" i="1"/>
  <c r="F1450" i="1"/>
  <c r="D1450" i="1"/>
  <c r="B1450" i="1"/>
  <c r="A1450" i="1"/>
  <c r="U1467" i="1"/>
  <c r="R1467" i="1"/>
  <c r="Q1467" i="1"/>
  <c r="P1467" i="1"/>
  <c r="O1467" i="1"/>
  <c r="N1467" i="1"/>
  <c r="M1467" i="1"/>
  <c r="I1467" i="1"/>
  <c r="H1467" i="1"/>
  <c r="F1467" i="1"/>
  <c r="D1467" i="1"/>
  <c r="B1467" i="1"/>
  <c r="A1467" i="1"/>
  <c r="U1639" i="1"/>
  <c r="R1639" i="1"/>
  <c r="Q1639" i="1"/>
  <c r="P1639" i="1"/>
  <c r="O1639" i="1"/>
  <c r="N1639" i="1"/>
  <c r="M1639" i="1"/>
  <c r="K1639" i="1"/>
  <c r="I1639" i="1"/>
  <c r="H1639" i="1"/>
  <c r="F1639" i="1"/>
  <c r="D1639" i="1"/>
  <c r="B1639" i="1"/>
  <c r="A1639" i="1"/>
  <c r="U1870" i="1"/>
  <c r="R1870" i="1"/>
  <c r="Q1870" i="1"/>
  <c r="P1870" i="1"/>
  <c r="O1870" i="1"/>
  <c r="N1870" i="1"/>
  <c r="M1870" i="1"/>
  <c r="I1870" i="1"/>
  <c r="H1870" i="1"/>
  <c r="F1870" i="1"/>
  <c r="D1870" i="1"/>
  <c r="B1870" i="1"/>
  <c r="A1870" i="1"/>
  <c r="U1977" i="1"/>
  <c r="R1977" i="1"/>
  <c r="Q1977" i="1"/>
  <c r="P1977" i="1"/>
  <c r="O1977" i="1"/>
  <c r="N1977" i="1"/>
  <c r="M1977" i="1"/>
  <c r="I1977" i="1"/>
  <c r="H1977" i="1"/>
  <c r="F1977" i="1"/>
  <c r="E1977" i="1"/>
  <c r="D1977" i="1"/>
  <c r="B1977" i="1"/>
  <c r="A1977" i="1"/>
  <c r="U1968" i="1"/>
  <c r="R1968" i="1"/>
  <c r="Q1968" i="1"/>
  <c r="P1968" i="1"/>
  <c r="O1968" i="1"/>
  <c r="N1968" i="1"/>
  <c r="M1968" i="1"/>
  <c r="I1968" i="1"/>
  <c r="H1968" i="1"/>
  <c r="F1968" i="1"/>
  <c r="D1968" i="1"/>
  <c r="B1968" i="1"/>
  <c r="A1968" i="1"/>
  <c r="U2873" i="1"/>
  <c r="R2873" i="1"/>
  <c r="Q2873" i="1"/>
  <c r="P2873" i="1"/>
  <c r="O2873" i="1"/>
  <c r="N2873" i="1"/>
  <c r="M2873" i="1"/>
  <c r="J2873" i="1"/>
  <c r="I2873" i="1"/>
  <c r="H2873" i="1"/>
  <c r="F2873" i="1"/>
  <c r="D2873" i="1"/>
  <c r="B2873" i="1"/>
  <c r="A2873" i="1"/>
  <c r="U2836" i="1"/>
  <c r="R2836" i="1"/>
  <c r="Q2836" i="1"/>
  <c r="P2836" i="1"/>
  <c r="O2836" i="1"/>
  <c r="N2836" i="1"/>
  <c r="M2836" i="1"/>
  <c r="K2836" i="1"/>
  <c r="J2836" i="1"/>
  <c r="I2836" i="1"/>
  <c r="H2836" i="1"/>
  <c r="F2836" i="1"/>
  <c r="D2836" i="1"/>
  <c r="B2836" i="1"/>
  <c r="A2836" i="1"/>
  <c r="U3124" i="1"/>
  <c r="R3124" i="1"/>
  <c r="Q3124" i="1"/>
  <c r="P3124" i="1"/>
  <c r="O3124" i="1"/>
  <c r="N3124" i="1"/>
  <c r="M3124" i="1"/>
  <c r="K3124" i="1"/>
  <c r="J3124" i="1"/>
  <c r="I3124" i="1"/>
  <c r="H3124" i="1"/>
  <c r="F3124" i="1"/>
  <c r="D3124" i="1"/>
  <c r="B3124" i="1"/>
  <c r="A3124" i="1"/>
  <c r="U2730" i="1"/>
  <c r="R2730" i="1"/>
  <c r="Q2730" i="1"/>
  <c r="P2730" i="1"/>
  <c r="O2730" i="1"/>
  <c r="N2730" i="1"/>
  <c r="M2730" i="1"/>
  <c r="J2730" i="1"/>
  <c r="I2730" i="1"/>
  <c r="H2730" i="1"/>
  <c r="F2730" i="1"/>
  <c r="D2730" i="1"/>
  <c r="B2730" i="1"/>
  <c r="A2730" i="1"/>
  <c r="U3114" i="1"/>
  <c r="R3114" i="1"/>
  <c r="Q3114" i="1"/>
  <c r="P3114" i="1"/>
  <c r="O3114" i="1"/>
  <c r="N3114" i="1"/>
  <c r="M3114" i="1"/>
  <c r="J3114" i="1"/>
  <c r="I3114" i="1"/>
  <c r="H3114" i="1"/>
  <c r="F3114" i="1"/>
  <c r="D3114" i="1"/>
  <c r="B3114" i="1"/>
  <c r="A3114" i="1"/>
  <c r="U2927" i="1"/>
  <c r="R2927" i="1"/>
  <c r="Q2927" i="1"/>
  <c r="P2927" i="1"/>
  <c r="O2927" i="1"/>
  <c r="N2927" i="1"/>
  <c r="M2927" i="1"/>
  <c r="J2927" i="1"/>
  <c r="I2927" i="1"/>
  <c r="H2927" i="1"/>
  <c r="F2927" i="1"/>
  <c r="D2927" i="1"/>
  <c r="B2927" i="1"/>
  <c r="A2927" i="1"/>
  <c r="U51" i="1"/>
  <c r="R51" i="1"/>
  <c r="Q51" i="1"/>
  <c r="P51" i="1"/>
  <c r="O51" i="1"/>
  <c r="N51" i="1"/>
  <c r="M51" i="1"/>
  <c r="J51" i="1"/>
  <c r="I51" i="1"/>
  <c r="H51" i="1"/>
  <c r="F51" i="1"/>
  <c r="D51" i="1"/>
  <c r="B51" i="1"/>
  <c r="A51" i="1"/>
  <c r="U1499" i="1"/>
  <c r="R1499" i="1"/>
  <c r="Q1499" i="1"/>
  <c r="P1499" i="1"/>
  <c r="O1499" i="1"/>
  <c r="N1499" i="1"/>
  <c r="M1499" i="1"/>
  <c r="K1499" i="1"/>
  <c r="J1499" i="1"/>
  <c r="I1499" i="1"/>
  <c r="H1499" i="1"/>
  <c r="F1499" i="1"/>
  <c r="D1499" i="1"/>
  <c r="B1499" i="1"/>
  <c r="A1499" i="1"/>
  <c r="U1575" i="1"/>
  <c r="R1575" i="1"/>
  <c r="Q1575" i="1"/>
  <c r="P1575" i="1"/>
  <c r="O1575" i="1"/>
  <c r="N1575" i="1"/>
  <c r="M1575" i="1"/>
  <c r="J1575" i="1"/>
  <c r="I1575" i="1"/>
  <c r="H1575" i="1"/>
  <c r="F1575" i="1"/>
  <c r="D1575" i="1"/>
  <c r="B1575" i="1"/>
  <c r="A1575" i="1"/>
  <c r="U1999" i="1"/>
  <c r="R1999" i="1"/>
  <c r="Q1999" i="1"/>
  <c r="P1999" i="1"/>
  <c r="O1999" i="1"/>
  <c r="N1999" i="1"/>
  <c r="M1999" i="1"/>
  <c r="J1999" i="1"/>
  <c r="I1999" i="1"/>
  <c r="H1999" i="1"/>
  <c r="F1999" i="1"/>
  <c r="D1999" i="1"/>
  <c r="B1999" i="1"/>
  <c r="A1999" i="1"/>
  <c r="U2162" i="1"/>
  <c r="R2162" i="1"/>
  <c r="Q2162" i="1"/>
  <c r="P2162" i="1"/>
  <c r="O2162" i="1"/>
  <c r="N2162" i="1"/>
  <c r="M2162" i="1"/>
  <c r="J2162" i="1"/>
  <c r="I2162" i="1"/>
  <c r="H2162" i="1"/>
  <c r="F2162" i="1"/>
  <c r="E2162" i="1"/>
  <c r="D2162" i="1"/>
  <c r="B2162" i="1"/>
  <c r="A2162" i="1"/>
  <c r="U2422" i="1"/>
  <c r="R2422" i="1"/>
  <c r="Q2422" i="1"/>
  <c r="P2422" i="1"/>
  <c r="O2422" i="1"/>
  <c r="N2422" i="1"/>
  <c r="M2422" i="1"/>
  <c r="J2422" i="1"/>
  <c r="I2422" i="1"/>
  <c r="H2422" i="1"/>
  <c r="F2422" i="1"/>
  <c r="D2422" i="1"/>
  <c r="B2422" i="1"/>
  <c r="A2422" i="1"/>
  <c r="U2606" i="1"/>
  <c r="R2606" i="1"/>
  <c r="Q2606" i="1"/>
  <c r="P2606" i="1"/>
  <c r="O2606" i="1"/>
  <c r="N2606" i="1"/>
  <c r="M2606" i="1"/>
  <c r="J2606" i="1"/>
  <c r="I2606" i="1"/>
  <c r="H2606" i="1"/>
  <c r="F2606" i="1"/>
  <c r="D2606" i="1"/>
  <c r="B2606" i="1"/>
  <c r="A2606" i="1"/>
  <c r="U3005" i="1"/>
  <c r="R3005" i="1"/>
  <c r="Q3005" i="1"/>
  <c r="P3005" i="1"/>
  <c r="O3005" i="1"/>
  <c r="N3005" i="1"/>
  <c r="M3005" i="1"/>
  <c r="J3005" i="1"/>
  <c r="I3005" i="1"/>
  <c r="H3005" i="1"/>
  <c r="F3005" i="1"/>
  <c r="D3005" i="1"/>
  <c r="B3005" i="1"/>
  <c r="A3005" i="1"/>
  <c r="U2697" i="1"/>
  <c r="R2697" i="1"/>
  <c r="Q2697" i="1"/>
  <c r="P2697" i="1"/>
  <c r="O2697" i="1"/>
  <c r="N2697" i="1"/>
  <c r="M2697" i="1"/>
  <c r="J2697" i="1"/>
  <c r="I2697" i="1"/>
  <c r="H2697" i="1"/>
  <c r="F2697" i="1"/>
  <c r="D2697" i="1"/>
  <c r="B2697" i="1"/>
  <c r="A2697" i="1"/>
  <c r="U2999" i="1"/>
  <c r="R2999" i="1"/>
  <c r="Q2999" i="1"/>
  <c r="P2999" i="1"/>
  <c r="O2999" i="1"/>
  <c r="N2999" i="1"/>
  <c r="M2999" i="1"/>
  <c r="J2999" i="1"/>
  <c r="I2999" i="1"/>
  <c r="H2999" i="1"/>
  <c r="F2999" i="1"/>
  <c r="D2999" i="1"/>
  <c r="B2999" i="1"/>
  <c r="A2999" i="1"/>
  <c r="U3196" i="1"/>
  <c r="R3196" i="1"/>
  <c r="Q3196" i="1"/>
  <c r="P3196" i="1"/>
  <c r="O3196" i="1"/>
  <c r="N3196" i="1"/>
  <c r="M3196" i="1"/>
  <c r="K3196" i="1"/>
  <c r="J3196" i="1"/>
  <c r="I3196" i="1"/>
  <c r="H3196" i="1"/>
  <c r="F3196" i="1"/>
  <c r="E3196" i="1"/>
  <c r="D3196" i="1"/>
  <c r="B3196" i="1"/>
  <c r="A3196" i="1"/>
  <c r="U2986" i="1"/>
  <c r="R2986" i="1"/>
  <c r="Q2986" i="1"/>
  <c r="P2986" i="1"/>
  <c r="O2986" i="1"/>
  <c r="N2986" i="1"/>
  <c r="M2986" i="1"/>
  <c r="J2986" i="1"/>
  <c r="I2986" i="1"/>
  <c r="H2986" i="1"/>
  <c r="F2986" i="1"/>
  <c r="E2986" i="1"/>
  <c r="D2986" i="1"/>
  <c r="B2986" i="1"/>
  <c r="A2986" i="1"/>
  <c r="U3157" i="1"/>
  <c r="R3157" i="1"/>
  <c r="Q3157" i="1"/>
  <c r="P3157" i="1"/>
  <c r="O3157" i="1"/>
  <c r="N3157" i="1"/>
  <c r="M3157" i="1"/>
  <c r="J3157" i="1"/>
  <c r="I3157" i="1"/>
  <c r="H3157" i="1"/>
  <c r="F3157" i="1"/>
  <c r="D3157" i="1"/>
  <c r="B3157" i="1"/>
  <c r="A3157" i="1"/>
  <c r="U1910" i="1"/>
  <c r="R1910" i="1"/>
  <c r="Q1910" i="1"/>
  <c r="P1910" i="1"/>
  <c r="O1910" i="1"/>
  <c r="N1910" i="1"/>
  <c r="M1910" i="1"/>
  <c r="J1910" i="1"/>
  <c r="I1910" i="1"/>
  <c r="H1910" i="1"/>
  <c r="F1910" i="1"/>
  <c r="D1910" i="1"/>
  <c r="B1910" i="1"/>
  <c r="A1910" i="1"/>
  <c r="U2980" i="1"/>
  <c r="R2980" i="1"/>
  <c r="Q2980" i="1"/>
  <c r="P2980" i="1"/>
  <c r="O2980" i="1"/>
  <c r="N2980" i="1"/>
  <c r="M2980" i="1"/>
  <c r="J2980" i="1"/>
  <c r="I2980" i="1"/>
  <c r="H2980" i="1"/>
  <c r="F2980" i="1"/>
  <c r="E2980" i="1"/>
  <c r="D2980" i="1"/>
  <c r="B2980" i="1"/>
  <c r="A2980" i="1"/>
  <c r="U2960" i="1"/>
  <c r="R2960" i="1"/>
  <c r="Q2960" i="1"/>
  <c r="P2960" i="1"/>
  <c r="O2960" i="1"/>
  <c r="N2960" i="1"/>
  <c r="M2960" i="1"/>
  <c r="J2960" i="1"/>
  <c r="I2960" i="1"/>
  <c r="H2960" i="1"/>
  <c r="F2960" i="1"/>
  <c r="D2960" i="1"/>
  <c r="B2960" i="1"/>
  <c r="A2960" i="1"/>
  <c r="U2964" i="1"/>
  <c r="R2964" i="1"/>
  <c r="Q2964" i="1"/>
  <c r="P2964" i="1"/>
  <c r="O2964" i="1"/>
  <c r="N2964" i="1"/>
  <c r="M2964" i="1"/>
  <c r="J2964" i="1"/>
  <c r="I2964" i="1"/>
  <c r="H2964" i="1"/>
  <c r="F2964" i="1"/>
  <c r="D2964" i="1"/>
  <c r="B2964" i="1"/>
  <c r="A2964" i="1"/>
  <c r="U2834" i="1"/>
  <c r="R2834" i="1"/>
  <c r="Q2834" i="1"/>
  <c r="P2834" i="1"/>
  <c r="O2834" i="1"/>
  <c r="N2834" i="1"/>
  <c r="M2834" i="1"/>
  <c r="J2834" i="1"/>
  <c r="I2834" i="1"/>
  <c r="H2834" i="1"/>
  <c r="F2834" i="1"/>
  <c r="D2834" i="1"/>
  <c r="B2834" i="1"/>
  <c r="A2834" i="1"/>
  <c r="U2958" i="1"/>
  <c r="R2958" i="1"/>
  <c r="Q2958" i="1"/>
  <c r="P2958" i="1"/>
  <c r="O2958" i="1"/>
  <c r="N2958" i="1"/>
  <c r="M2958" i="1"/>
  <c r="J2958" i="1"/>
  <c r="I2958" i="1"/>
  <c r="H2958" i="1"/>
  <c r="F2958" i="1"/>
  <c r="E2958" i="1"/>
  <c r="D2958" i="1"/>
  <c r="B2958" i="1"/>
  <c r="A2958" i="1"/>
  <c r="U3053" i="1"/>
  <c r="R3053" i="1"/>
  <c r="Q3053" i="1"/>
  <c r="P3053" i="1"/>
  <c r="O3053" i="1"/>
  <c r="N3053" i="1"/>
  <c r="M3053" i="1"/>
  <c r="J3053" i="1"/>
  <c r="I3053" i="1"/>
  <c r="H3053" i="1"/>
  <c r="F3053" i="1"/>
  <c r="D3053" i="1"/>
  <c r="B3053" i="1"/>
  <c r="A3053" i="1"/>
  <c r="U2979" i="1"/>
  <c r="R2979" i="1"/>
  <c r="Q2979" i="1"/>
  <c r="P2979" i="1"/>
  <c r="O2979" i="1"/>
  <c r="N2979" i="1"/>
  <c r="M2979" i="1"/>
  <c r="J2979" i="1"/>
  <c r="I2979" i="1"/>
  <c r="H2979" i="1"/>
  <c r="G2979" i="1"/>
  <c r="F2979" i="1"/>
  <c r="D2979" i="1"/>
  <c r="B2979" i="1"/>
  <c r="A2979" i="1"/>
  <c r="U2613" i="1"/>
  <c r="R2613" i="1"/>
  <c r="Q2613" i="1"/>
  <c r="P2613" i="1"/>
  <c r="O2613" i="1"/>
  <c r="N2613" i="1"/>
  <c r="M2613" i="1"/>
  <c r="K2613" i="1"/>
  <c r="J2613" i="1"/>
  <c r="I2613" i="1"/>
  <c r="H2613" i="1"/>
  <c r="G2613" i="1"/>
  <c r="F2613" i="1"/>
  <c r="D2613" i="1"/>
  <c r="B2613" i="1"/>
  <c r="A2613" i="1"/>
  <c r="U2564" i="1"/>
  <c r="R2564" i="1"/>
  <c r="Q2564" i="1"/>
  <c r="P2564" i="1"/>
  <c r="O2564" i="1"/>
  <c r="N2564" i="1"/>
  <c r="M2564" i="1"/>
  <c r="K2564" i="1"/>
  <c r="J2564" i="1"/>
  <c r="I2564" i="1"/>
  <c r="H2564" i="1"/>
  <c r="F2564" i="1"/>
  <c r="D2564" i="1"/>
  <c r="B2564" i="1"/>
  <c r="A2564" i="1"/>
  <c r="U2609" i="1"/>
  <c r="R2609" i="1"/>
  <c r="Q2609" i="1"/>
  <c r="P2609" i="1"/>
  <c r="O2609" i="1"/>
  <c r="N2609" i="1"/>
  <c r="M2609" i="1"/>
  <c r="K2609" i="1"/>
  <c r="J2609" i="1"/>
  <c r="I2609" i="1"/>
  <c r="H2609" i="1"/>
  <c r="F2609" i="1"/>
  <c r="D2609" i="1"/>
  <c r="B2609" i="1"/>
  <c r="A2609" i="1"/>
  <c r="U2426" i="1"/>
  <c r="R2426" i="1"/>
  <c r="Q2426" i="1"/>
  <c r="P2426" i="1"/>
  <c r="O2426" i="1"/>
  <c r="N2426" i="1"/>
  <c r="M2426" i="1"/>
  <c r="K2426" i="1"/>
  <c r="J2426" i="1"/>
  <c r="I2426" i="1"/>
  <c r="H2426" i="1"/>
  <c r="F2426" i="1"/>
  <c r="D2426" i="1"/>
  <c r="B2426" i="1"/>
  <c r="A2426" i="1"/>
  <c r="U552" i="1"/>
  <c r="R552" i="1"/>
  <c r="Q552" i="1"/>
  <c r="P552" i="1"/>
  <c r="O552" i="1"/>
  <c r="N552" i="1"/>
  <c r="M552" i="1"/>
  <c r="J552" i="1"/>
  <c r="I552" i="1"/>
  <c r="H552" i="1"/>
  <c r="F552" i="1"/>
  <c r="D552" i="1"/>
  <c r="B552" i="1"/>
  <c r="A552" i="1"/>
  <c r="U1183" i="1"/>
  <c r="R1183" i="1"/>
  <c r="Q1183" i="1"/>
  <c r="P1183" i="1"/>
  <c r="O1183" i="1"/>
  <c r="N1183" i="1"/>
  <c r="M1183" i="1"/>
  <c r="J1183" i="1"/>
  <c r="I1183" i="1"/>
  <c r="H1183" i="1"/>
  <c r="F1183" i="1"/>
  <c r="D1183" i="1"/>
  <c r="B1183" i="1"/>
  <c r="A1183" i="1"/>
  <c r="U1313" i="1"/>
  <c r="R1313" i="1"/>
  <c r="Q1313" i="1"/>
  <c r="P1313" i="1"/>
  <c r="O1313" i="1"/>
  <c r="N1313" i="1"/>
  <c r="M1313" i="1"/>
  <c r="J1313" i="1"/>
  <c r="I1313" i="1"/>
  <c r="H1313" i="1"/>
  <c r="F1313" i="1"/>
  <c r="D1313" i="1"/>
  <c r="B1313" i="1"/>
  <c r="A1313" i="1"/>
  <c r="U1375" i="1"/>
  <c r="R1375" i="1"/>
  <c r="Q1375" i="1"/>
  <c r="P1375" i="1"/>
  <c r="O1375" i="1"/>
  <c r="N1375" i="1"/>
  <c r="M1375" i="1"/>
  <c r="I1375" i="1"/>
  <c r="H1375" i="1"/>
  <c r="F1375" i="1"/>
  <c r="D1375" i="1"/>
  <c r="B1375" i="1"/>
  <c r="A1375" i="1"/>
  <c r="U1803" i="1"/>
  <c r="R1803" i="1"/>
  <c r="Q1803" i="1"/>
  <c r="P1803" i="1"/>
  <c r="O1803" i="1"/>
  <c r="N1803" i="1"/>
  <c r="M1803" i="1"/>
  <c r="J1803" i="1"/>
  <c r="I1803" i="1"/>
  <c r="H1803" i="1"/>
  <c r="F1803" i="1"/>
  <c r="D1803" i="1"/>
  <c r="B1803" i="1"/>
  <c r="A1803" i="1"/>
  <c r="U2387" i="1"/>
  <c r="R2387" i="1"/>
  <c r="Q2387" i="1"/>
  <c r="P2387" i="1"/>
  <c r="O2387" i="1"/>
  <c r="N2387" i="1"/>
  <c r="M2387" i="1"/>
  <c r="K2387" i="1"/>
  <c r="J2387" i="1"/>
  <c r="I2387" i="1"/>
  <c r="H2387" i="1"/>
  <c r="F2387" i="1"/>
  <c r="E2387" i="1"/>
  <c r="D2387" i="1"/>
  <c r="B2387" i="1"/>
  <c r="A2387" i="1"/>
  <c r="U100" i="1"/>
  <c r="R100" i="1"/>
  <c r="Q100" i="1"/>
  <c r="P100" i="1"/>
  <c r="O100" i="1"/>
  <c r="N100" i="1"/>
  <c r="M100" i="1"/>
  <c r="I100" i="1"/>
  <c r="H100" i="1"/>
  <c r="F100" i="1"/>
  <c r="D100" i="1"/>
  <c r="B100" i="1"/>
  <c r="A100" i="1"/>
  <c r="U558" i="1"/>
  <c r="R558" i="1"/>
  <c r="Q558" i="1"/>
  <c r="P558" i="1"/>
  <c r="O558" i="1"/>
  <c r="N558" i="1"/>
  <c r="M558" i="1"/>
  <c r="I558" i="1"/>
  <c r="H558" i="1"/>
  <c r="F558" i="1"/>
  <c r="D558" i="1"/>
  <c r="B558" i="1"/>
  <c r="A558" i="1"/>
  <c r="U509" i="1"/>
  <c r="R509" i="1"/>
  <c r="Q509" i="1"/>
  <c r="P509" i="1"/>
  <c r="O509" i="1"/>
  <c r="N509" i="1"/>
  <c r="M509" i="1"/>
  <c r="I509" i="1"/>
  <c r="H509" i="1"/>
  <c r="F509" i="1"/>
  <c r="D509" i="1"/>
  <c r="B509" i="1"/>
  <c r="A509" i="1"/>
  <c r="U823" i="1"/>
  <c r="R823" i="1"/>
  <c r="Q823" i="1"/>
  <c r="P823" i="1"/>
  <c r="O823" i="1"/>
  <c r="N823" i="1"/>
  <c r="M823" i="1"/>
  <c r="I823" i="1"/>
  <c r="H823" i="1"/>
  <c r="F823" i="1"/>
  <c r="D823" i="1"/>
  <c r="B823" i="1"/>
  <c r="A823" i="1"/>
  <c r="U955" i="1"/>
  <c r="R955" i="1"/>
  <c r="Q955" i="1"/>
  <c r="P955" i="1"/>
  <c r="O955" i="1"/>
  <c r="N955" i="1"/>
  <c r="M955" i="1"/>
  <c r="I955" i="1"/>
  <c r="H955" i="1"/>
  <c r="F955" i="1"/>
  <c r="D955" i="1"/>
  <c r="B955" i="1"/>
  <c r="A955" i="1"/>
  <c r="U971" i="1"/>
  <c r="R971" i="1"/>
  <c r="Q971" i="1"/>
  <c r="P971" i="1"/>
  <c r="O971" i="1"/>
  <c r="N971" i="1"/>
  <c r="M971" i="1"/>
  <c r="I971" i="1"/>
  <c r="H971" i="1"/>
  <c r="F971" i="1"/>
  <c r="D971" i="1"/>
  <c r="B971" i="1"/>
  <c r="A971" i="1"/>
  <c r="U988" i="1"/>
  <c r="R988" i="1"/>
  <c r="Q988" i="1"/>
  <c r="P988" i="1"/>
  <c r="O988" i="1"/>
  <c r="N988" i="1"/>
  <c r="M988" i="1"/>
  <c r="J988" i="1"/>
  <c r="I988" i="1"/>
  <c r="H988" i="1"/>
  <c r="F988" i="1"/>
  <c r="D988" i="1"/>
  <c r="B988" i="1"/>
  <c r="A988" i="1"/>
  <c r="U1119" i="1"/>
  <c r="R1119" i="1"/>
  <c r="Q1119" i="1"/>
  <c r="P1119" i="1"/>
  <c r="O1119" i="1"/>
  <c r="N1119" i="1"/>
  <c r="M1119" i="1"/>
  <c r="I1119" i="1"/>
  <c r="H1119" i="1"/>
  <c r="F1119" i="1"/>
  <c r="D1119" i="1"/>
  <c r="B1119" i="1"/>
  <c r="A1119" i="1"/>
  <c r="U1194" i="1"/>
  <c r="R1194" i="1"/>
  <c r="Q1194" i="1"/>
  <c r="P1194" i="1"/>
  <c r="O1194" i="1"/>
  <c r="N1194" i="1"/>
  <c r="M1194" i="1"/>
  <c r="I1194" i="1"/>
  <c r="H1194" i="1"/>
  <c r="F1194" i="1"/>
  <c r="E1194" i="1"/>
  <c r="D1194" i="1"/>
  <c r="B1194" i="1"/>
  <c r="A1194" i="1"/>
  <c r="U1285" i="1"/>
  <c r="R1285" i="1"/>
  <c r="Q1285" i="1"/>
  <c r="P1285" i="1"/>
  <c r="O1285" i="1"/>
  <c r="N1285" i="1"/>
  <c r="M1285" i="1"/>
  <c r="I1285" i="1"/>
  <c r="H1285" i="1"/>
  <c r="F1285" i="1"/>
  <c r="D1285" i="1"/>
  <c r="B1285" i="1"/>
  <c r="A1285" i="1"/>
  <c r="U1587" i="1"/>
  <c r="R1587" i="1"/>
  <c r="Q1587" i="1"/>
  <c r="P1587" i="1"/>
  <c r="O1587" i="1"/>
  <c r="N1587" i="1"/>
  <c r="M1587" i="1"/>
  <c r="K1587" i="1"/>
  <c r="J1587" i="1"/>
  <c r="I1587" i="1"/>
  <c r="H1587" i="1"/>
  <c r="F1587" i="1"/>
  <c r="D1587" i="1"/>
  <c r="B1587" i="1"/>
  <c r="A1587" i="1"/>
  <c r="U1636" i="1"/>
  <c r="R1636" i="1"/>
  <c r="Q1636" i="1"/>
  <c r="P1636" i="1"/>
  <c r="O1636" i="1"/>
  <c r="N1636" i="1"/>
  <c r="M1636" i="1"/>
  <c r="K1636" i="1"/>
  <c r="J1636" i="1"/>
  <c r="I1636" i="1"/>
  <c r="H1636" i="1"/>
  <c r="F1636" i="1"/>
  <c r="D1636" i="1"/>
  <c r="B1636" i="1"/>
  <c r="A1636" i="1"/>
  <c r="U1778" i="1"/>
  <c r="R1778" i="1"/>
  <c r="Q1778" i="1"/>
  <c r="P1778" i="1"/>
  <c r="O1778" i="1"/>
  <c r="N1778" i="1"/>
  <c r="M1778" i="1"/>
  <c r="J1778" i="1"/>
  <c r="I1778" i="1"/>
  <c r="H1778" i="1"/>
  <c r="F1778" i="1"/>
  <c r="D1778" i="1"/>
  <c r="B1778" i="1"/>
  <c r="A1778" i="1"/>
  <c r="U1916" i="1"/>
  <c r="R1916" i="1"/>
  <c r="Q1916" i="1"/>
  <c r="P1916" i="1"/>
  <c r="O1916" i="1"/>
  <c r="N1916" i="1"/>
  <c r="M1916" i="1"/>
  <c r="J1916" i="1"/>
  <c r="I1916" i="1"/>
  <c r="H1916" i="1"/>
  <c r="G1916" i="1"/>
  <c r="F1916" i="1"/>
  <c r="D1916" i="1"/>
  <c r="B1916" i="1"/>
  <c r="A1916" i="1"/>
  <c r="U2853" i="1"/>
  <c r="R2853" i="1"/>
  <c r="Q2853" i="1"/>
  <c r="P2853" i="1"/>
  <c r="O2853" i="1"/>
  <c r="N2853" i="1"/>
  <c r="M2853" i="1"/>
  <c r="J2853" i="1"/>
  <c r="I2853" i="1"/>
  <c r="H2853" i="1"/>
  <c r="F2853" i="1"/>
  <c r="D2853" i="1"/>
  <c r="B2853" i="1"/>
  <c r="A2853" i="1"/>
  <c r="U2001" i="1"/>
  <c r="R2001" i="1"/>
  <c r="Q2001" i="1"/>
  <c r="P2001" i="1"/>
  <c r="O2001" i="1"/>
  <c r="N2001" i="1"/>
  <c r="M2001" i="1"/>
  <c r="J2001" i="1"/>
  <c r="I2001" i="1"/>
  <c r="H2001" i="1"/>
  <c r="G2001" i="1"/>
  <c r="F2001" i="1"/>
  <c r="D2001" i="1"/>
  <c r="B2001" i="1"/>
  <c r="A2001" i="1"/>
  <c r="U2045" i="1"/>
  <c r="R2045" i="1"/>
  <c r="Q2045" i="1"/>
  <c r="P2045" i="1"/>
  <c r="O2045" i="1"/>
  <c r="N2045" i="1"/>
  <c r="M2045" i="1"/>
  <c r="J2045" i="1"/>
  <c r="I2045" i="1"/>
  <c r="H2045" i="1"/>
  <c r="F2045" i="1"/>
  <c r="D2045" i="1"/>
  <c r="B2045" i="1"/>
  <c r="A2045" i="1"/>
  <c r="U2070" i="1"/>
  <c r="R2070" i="1"/>
  <c r="Q2070" i="1"/>
  <c r="P2070" i="1"/>
  <c r="O2070" i="1"/>
  <c r="N2070" i="1"/>
  <c r="M2070" i="1"/>
  <c r="K2070" i="1"/>
  <c r="J2070" i="1"/>
  <c r="I2070" i="1"/>
  <c r="H2070" i="1"/>
  <c r="G2070" i="1"/>
  <c r="F2070" i="1"/>
  <c r="D2070" i="1"/>
  <c r="B2070" i="1"/>
  <c r="A2070" i="1"/>
  <c r="U2111" i="1"/>
  <c r="R2111" i="1"/>
  <c r="Q2111" i="1"/>
  <c r="P2111" i="1"/>
  <c r="O2111" i="1"/>
  <c r="N2111" i="1"/>
  <c r="M2111" i="1"/>
  <c r="K2111" i="1"/>
  <c r="J2111" i="1"/>
  <c r="I2111" i="1"/>
  <c r="H2111" i="1"/>
  <c r="F2111" i="1"/>
  <c r="D2111" i="1"/>
  <c r="B2111" i="1"/>
  <c r="A2111" i="1"/>
  <c r="U3008" i="1"/>
  <c r="R3008" i="1"/>
  <c r="Q3008" i="1"/>
  <c r="P3008" i="1"/>
  <c r="O3008" i="1"/>
  <c r="N3008" i="1"/>
  <c r="M3008" i="1"/>
  <c r="J3008" i="1"/>
  <c r="I3008" i="1"/>
  <c r="H3008" i="1"/>
  <c r="F3008" i="1"/>
  <c r="D3008" i="1"/>
  <c r="B3008" i="1"/>
  <c r="A3008" i="1"/>
  <c r="U2788" i="1"/>
  <c r="R2788" i="1"/>
  <c r="Q2788" i="1"/>
  <c r="P2788" i="1"/>
  <c r="O2788" i="1"/>
  <c r="N2788" i="1"/>
  <c r="M2788" i="1"/>
  <c r="J2788" i="1"/>
  <c r="I2788" i="1"/>
  <c r="H2788" i="1"/>
  <c r="G2788" i="1"/>
  <c r="F2788" i="1"/>
  <c r="D2788" i="1"/>
  <c r="B2788" i="1"/>
  <c r="A2788" i="1"/>
  <c r="U2818" i="1"/>
  <c r="R2818" i="1"/>
  <c r="Q2818" i="1"/>
  <c r="P2818" i="1"/>
  <c r="O2818" i="1"/>
  <c r="N2818" i="1"/>
  <c r="M2818" i="1"/>
  <c r="J2818" i="1"/>
  <c r="I2818" i="1"/>
  <c r="H2818" i="1"/>
  <c r="F2818" i="1"/>
  <c r="D2818" i="1"/>
  <c r="B2818" i="1"/>
  <c r="A2818" i="1"/>
  <c r="U2787" i="1"/>
  <c r="R2787" i="1"/>
  <c r="Q2787" i="1"/>
  <c r="P2787" i="1"/>
  <c r="O2787" i="1"/>
  <c r="N2787" i="1"/>
  <c r="M2787" i="1"/>
  <c r="J2787" i="1"/>
  <c r="I2787" i="1"/>
  <c r="H2787" i="1"/>
  <c r="F2787" i="1"/>
  <c r="D2787" i="1"/>
  <c r="B2787" i="1"/>
  <c r="A2787" i="1"/>
  <c r="U2786" i="1"/>
  <c r="R2786" i="1"/>
  <c r="Q2786" i="1"/>
  <c r="P2786" i="1"/>
  <c r="O2786" i="1"/>
  <c r="N2786" i="1"/>
  <c r="M2786" i="1"/>
  <c r="J2786" i="1"/>
  <c r="I2786" i="1"/>
  <c r="H2786" i="1"/>
  <c r="F2786" i="1"/>
  <c r="D2786" i="1"/>
  <c r="B2786" i="1"/>
  <c r="A2786" i="1"/>
  <c r="U2161" i="1"/>
  <c r="R2161" i="1"/>
  <c r="Q2161" i="1"/>
  <c r="P2161" i="1"/>
  <c r="O2161" i="1"/>
  <c r="N2161" i="1"/>
  <c r="M2161" i="1"/>
  <c r="J2161" i="1"/>
  <c r="I2161" i="1"/>
  <c r="H2161" i="1"/>
  <c r="G2161" i="1"/>
  <c r="F2161" i="1"/>
  <c r="D2161" i="1"/>
  <c r="B2161" i="1"/>
  <c r="A2161" i="1"/>
  <c r="U2763" i="1"/>
  <c r="R2763" i="1"/>
  <c r="Q2763" i="1"/>
  <c r="P2763" i="1"/>
  <c r="O2763" i="1"/>
  <c r="N2763" i="1"/>
  <c r="M2763" i="1"/>
  <c r="J2763" i="1"/>
  <c r="I2763" i="1"/>
  <c r="H2763" i="1"/>
  <c r="F2763" i="1"/>
  <c r="E2763" i="1"/>
  <c r="D2763" i="1"/>
  <c r="B2763" i="1"/>
  <c r="A2763" i="1"/>
  <c r="U2785" i="1"/>
  <c r="R2785" i="1"/>
  <c r="Q2785" i="1"/>
  <c r="P2785" i="1"/>
  <c r="O2785" i="1"/>
  <c r="N2785" i="1"/>
  <c r="M2785" i="1"/>
  <c r="J2785" i="1"/>
  <c r="I2785" i="1"/>
  <c r="H2785" i="1"/>
  <c r="F2785" i="1"/>
  <c r="D2785" i="1"/>
  <c r="B2785" i="1"/>
  <c r="A2785" i="1"/>
  <c r="U2762" i="1"/>
  <c r="R2762" i="1"/>
  <c r="Q2762" i="1"/>
  <c r="P2762" i="1"/>
  <c r="O2762" i="1"/>
  <c r="N2762" i="1"/>
  <c r="M2762" i="1"/>
  <c r="J2762" i="1"/>
  <c r="I2762" i="1"/>
  <c r="H2762" i="1"/>
  <c r="F2762" i="1"/>
  <c r="D2762" i="1"/>
  <c r="B2762" i="1"/>
  <c r="A2762" i="1"/>
  <c r="U2826" i="1"/>
  <c r="R2826" i="1"/>
  <c r="Q2826" i="1"/>
  <c r="P2826" i="1"/>
  <c r="O2826" i="1"/>
  <c r="N2826" i="1"/>
  <c r="M2826" i="1"/>
  <c r="J2826" i="1"/>
  <c r="I2826" i="1"/>
  <c r="H2826" i="1"/>
  <c r="F2826" i="1"/>
  <c r="D2826" i="1"/>
  <c r="B2826" i="1"/>
  <c r="A2826" i="1"/>
  <c r="U2784" i="1"/>
  <c r="R2784" i="1"/>
  <c r="Q2784" i="1"/>
  <c r="P2784" i="1"/>
  <c r="O2784" i="1"/>
  <c r="N2784" i="1"/>
  <c r="M2784" i="1"/>
  <c r="J2784" i="1"/>
  <c r="I2784" i="1"/>
  <c r="H2784" i="1"/>
  <c r="F2784" i="1"/>
  <c r="D2784" i="1"/>
  <c r="B2784" i="1"/>
  <c r="A2784" i="1"/>
  <c r="U2832" i="1"/>
  <c r="R2832" i="1"/>
  <c r="Q2832" i="1"/>
  <c r="P2832" i="1"/>
  <c r="O2832" i="1"/>
  <c r="N2832" i="1"/>
  <c r="M2832" i="1"/>
  <c r="J2832" i="1"/>
  <c r="I2832" i="1"/>
  <c r="H2832" i="1"/>
  <c r="G2832" i="1"/>
  <c r="F2832" i="1"/>
  <c r="D2832" i="1"/>
  <c r="B2832" i="1"/>
  <c r="A2832" i="1"/>
  <c r="U2828" i="1"/>
  <c r="R2828" i="1"/>
  <c r="Q2828" i="1"/>
  <c r="P2828" i="1"/>
  <c r="O2828" i="1"/>
  <c r="N2828" i="1"/>
  <c r="M2828" i="1"/>
  <c r="J2828" i="1"/>
  <c r="I2828" i="1"/>
  <c r="H2828" i="1"/>
  <c r="F2828" i="1"/>
  <c r="D2828" i="1"/>
  <c r="B2828" i="1"/>
  <c r="A2828" i="1"/>
  <c r="U2617" i="1"/>
  <c r="R2617" i="1"/>
  <c r="Q2617" i="1"/>
  <c r="P2617" i="1"/>
  <c r="O2617" i="1"/>
  <c r="N2617" i="1"/>
  <c r="M2617" i="1"/>
  <c r="J2617" i="1"/>
  <c r="I2617" i="1"/>
  <c r="H2617" i="1"/>
  <c r="F2617" i="1"/>
  <c r="D2617" i="1"/>
  <c r="B2617" i="1"/>
  <c r="A2617" i="1"/>
  <c r="U2883" i="1"/>
  <c r="R2883" i="1"/>
  <c r="Q2883" i="1"/>
  <c r="P2883" i="1"/>
  <c r="O2883" i="1"/>
  <c r="N2883" i="1"/>
  <c r="M2883" i="1"/>
  <c r="K2883" i="1"/>
  <c r="J2883" i="1"/>
  <c r="I2883" i="1"/>
  <c r="H2883" i="1"/>
  <c r="F2883" i="1"/>
  <c r="D2883" i="1"/>
  <c r="B2883" i="1"/>
  <c r="A2883" i="1"/>
  <c r="U2831" i="1"/>
  <c r="R2831" i="1"/>
  <c r="Q2831" i="1"/>
  <c r="P2831" i="1"/>
  <c r="O2831" i="1"/>
  <c r="N2831" i="1"/>
  <c r="M2831" i="1"/>
  <c r="J2831" i="1"/>
  <c r="I2831" i="1"/>
  <c r="H2831" i="1"/>
  <c r="F2831" i="1"/>
  <c r="D2831" i="1"/>
  <c r="B2831" i="1"/>
  <c r="A2831" i="1"/>
  <c r="U2830" i="1"/>
  <c r="R2830" i="1"/>
  <c r="Q2830" i="1"/>
  <c r="P2830" i="1"/>
  <c r="O2830" i="1"/>
  <c r="N2830" i="1"/>
  <c r="M2830" i="1"/>
  <c r="K2830" i="1"/>
  <c r="J2830" i="1"/>
  <c r="I2830" i="1"/>
  <c r="H2830" i="1"/>
  <c r="F2830" i="1"/>
  <c r="D2830" i="1"/>
  <c r="B2830" i="1"/>
  <c r="A2830" i="1"/>
  <c r="U2620" i="1"/>
  <c r="R2620" i="1"/>
  <c r="Q2620" i="1"/>
  <c r="P2620" i="1"/>
  <c r="O2620" i="1"/>
  <c r="N2620" i="1"/>
  <c r="M2620" i="1"/>
  <c r="J2620" i="1"/>
  <c r="I2620" i="1"/>
  <c r="H2620" i="1"/>
  <c r="F2620" i="1"/>
  <c r="D2620" i="1"/>
  <c r="B2620" i="1"/>
  <c r="A2620" i="1"/>
  <c r="U15" i="1"/>
  <c r="R15" i="1"/>
  <c r="Q15" i="1"/>
  <c r="P15" i="1"/>
  <c r="O15" i="1"/>
  <c r="N15" i="1"/>
  <c r="M15" i="1"/>
  <c r="J15" i="1"/>
  <c r="I15" i="1"/>
  <c r="H15" i="1"/>
  <c r="F15" i="1"/>
  <c r="D15" i="1"/>
  <c r="B15" i="1"/>
  <c r="A15" i="1"/>
  <c r="U35" i="1"/>
  <c r="R35" i="1"/>
  <c r="Q35" i="1"/>
  <c r="P35" i="1"/>
  <c r="O35" i="1"/>
  <c r="N35" i="1"/>
  <c r="M35" i="1"/>
  <c r="J35" i="1"/>
  <c r="I35" i="1"/>
  <c r="H35" i="1"/>
  <c r="F35" i="1"/>
  <c r="D35" i="1"/>
  <c r="B35" i="1"/>
  <c r="A35" i="1"/>
  <c r="U99" i="1"/>
  <c r="R99" i="1"/>
  <c r="Q99" i="1"/>
  <c r="P99" i="1"/>
  <c r="O99" i="1"/>
  <c r="N99" i="1"/>
  <c r="M99" i="1"/>
  <c r="J99" i="1"/>
  <c r="I99" i="1"/>
  <c r="H99" i="1"/>
  <c r="F99" i="1"/>
  <c r="D99" i="1"/>
  <c r="B99" i="1"/>
  <c r="A99" i="1"/>
  <c r="U149" i="1"/>
  <c r="R149" i="1"/>
  <c r="Q149" i="1"/>
  <c r="P149" i="1"/>
  <c r="O149" i="1"/>
  <c r="N149" i="1"/>
  <c r="M149" i="1"/>
  <c r="J149" i="1"/>
  <c r="I149" i="1"/>
  <c r="H149" i="1"/>
  <c r="F149" i="1"/>
  <c r="D149" i="1"/>
  <c r="B149" i="1"/>
  <c r="A149" i="1"/>
  <c r="U595" i="1"/>
  <c r="R595" i="1"/>
  <c r="Q595" i="1"/>
  <c r="P595" i="1"/>
  <c r="O595" i="1"/>
  <c r="N595" i="1"/>
  <c r="M595" i="1"/>
  <c r="I595" i="1"/>
  <c r="H595" i="1"/>
  <c r="F595" i="1"/>
  <c r="D595" i="1"/>
  <c r="B595" i="1"/>
  <c r="A595" i="1"/>
  <c r="U673" i="1"/>
  <c r="R673" i="1"/>
  <c r="Q673" i="1"/>
  <c r="P673" i="1"/>
  <c r="O673" i="1"/>
  <c r="N673" i="1"/>
  <c r="M673" i="1"/>
  <c r="J673" i="1"/>
  <c r="I673" i="1"/>
  <c r="H673" i="1"/>
  <c r="F673" i="1"/>
  <c r="D673" i="1"/>
  <c r="B673" i="1"/>
  <c r="A673" i="1"/>
  <c r="U530" i="1"/>
  <c r="R530" i="1"/>
  <c r="Q530" i="1"/>
  <c r="P530" i="1"/>
  <c r="O530" i="1"/>
  <c r="N530" i="1"/>
  <c r="M530" i="1"/>
  <c r="J530" i="1"/>
  <c r="I530" i="1"/>
  <c r="H530" i="1"/>
  <c r="F530" i="1"/>
  <c r="D530" i="1"/>
  <c r="B530" i="1"/>
  <c r="A530" i="1"/>
  <c r="U1019" i="1"/>
  <c r="R1019" i="1"/>
  <c r="Q1019" i="1"/>
  <c r="P1019" i="1"/>
  <c r="O1019" i="1"/>
  <c r="N1019" i="1"/>
  <c r="M1019" i="1"/>
  <c r="J1019" i="1"/>
  <c r="I1019" i="1"/>
  <c r="H1019" i="1"/>
  <c r="F1019" i="1"/>
  <c r="D1019" i="1"/>
  <c r="B1019" i="1"/>
  <c r="A1019" i="1"/>
  <c r="U1579" i="1"/>
  <c r="R1579" i="1"/>
  <c r="Q1579" i="1"/>
  <c r="P1579" i="1"/>
  <c r="O1579" i="1"/>
  <c r="N1579" i="1"/>
  <c r="M1579" i="1"/>
  <c r="J1579" i="1"/>
  <c r="I1579" i="1"/>
  <c r="H1579" i="1"/>
  <c r="F1579" i="1"/>
  <c r="D1579" i="1"/>
  <c r="A1579" i="1"/>
  <c r="U1712" i="1"/>
  <c r="R1712" i="1"/>
  <c r="Q1712" i="1"/>
  <c r="P1712" i="1"/>
  <c r="O1712" i="1"/>
  <c r="N1712" i="1"/>
  <c r="M1712" i="1"/>
  <c r="J1712" i="1"/>
  <c r="I1712" i="1"/>
  <c r="H1712" i="1"/>
  <c r="F1712" i="1"/>
  <c r="D1712" i="1"/>
  <c r="B1712" i="1"/>
  <c r="A1712" i="1"/>
  <c r="U1771" i="1"/>
  <c r="R1771" i="1"/>
  <c r="Q1771" i="1"/>
  <c r="P1771" i="1"/>
  <c r="O1771" i="1"/>
  <c r="N1771" i="1"/>
  <c r="M1771" i="1"/>
  <c r="K1771" i="1"/>
  <c r="J1771" i="1"/>
  <c r="I1771" i="1"/>
  <c r="H1771" i="1"/>
  <c r="G1771" i="1"/>
  <c r="F1771" i="1"/>
  <c r="D1771" i="1"/>
  <c r="A1771" i="1"/>
  <c r="U1956" i="1"/>
  <c r="R1956" i="1"/>
  <c r="Q1956" i="1"/>
  <c r="P1956" i="1"/>
  <c r="O1956" i="1"/>
  <c r="N1956" i="1"/>
  <c r="M1956" i="1"/>
  <c r="K1956" i="1"/>
  <c r="J1956" i="1"/>
  <c r="I1956" i="1"/>
  <c r="H1956" i="1"/>
  <c r="F1956" i="1"/>
  <c r="D1956" i="1"/>
  <c r="B1956" i="1"/>
  <c r="A1956" i="1"/>
  <c r="U2075" i="1"/>
  <c r="R2075" i="1"/>
  <c r="Q2075" i="1"/>
  <c r="P2075" i="1"/>
  <c r="O2075" i="1"/>
  <c r="N2075" i="1"/>
  <c r="M2075" i="1"/>
  <c r="J2075" i="1"/>
  <c r="I2075" i="1"/>
  <c r="H2075" i="1"/>
  <c r="F2075" i="1"/>
  <c r="D2075" i="1"/>
  <c r="B2075" i="1"/>
  <c r="A2075" i="1"/>
  <c r="U2124" i="1"/>
  <c r="R2124" i="1"/>
  <c r="Q2124" i="1"/>
  <c r="P2124" i="1"/>
  <c r="O2124" i="1"/>
  <c r="N2124" i="1"/>
  <c r="M2124" i="1"/>
  <c r="J2124" i="1"/>
  <c r="I2124" i="1"/>
  <c r="H2124" i="1"/>
  <c r="F2124" i="1"/>
  <c r="D2124" i="1"/>
  <c r="B2124" i="1"/>
  <c r="A2124" i="1"/>
  <c r="U2148" i="1"/>
  <c r="R2148" i="1"/>
  <c r="Q2148" i="1"/>
  <c r="P2148" i="1"/>
  <c r="O2148" i="1"/>
  <c r="N2148" i="1"/>
  <c r="M2148" i="1"/>
  <c r="J2148" i="1"/>
  <c r="I2148" i="1"/>
  <c r="H2148" i="1"/>
  <c r="F2148" i="1"/>
  <c r="D2148" i="1"/>
  <c r="B2148" i="1"/>
  <c r="A2148" i="1"/>
  <c r="U2147" i="1"/>
  <c r="R2147" i="1"/>
  <c r="Q2147" i="1"/>
  <c r="P2147" i="1"/>
  <c r="O2147" i="1"/>
  <c r="N2147" i="1"/>
  <c r="M2147" i="1"/>
  <c r="J2147" i="1"/>
  <c r="I2147" i="1"/>
  <c r="H2147" i="1"/>
  <c r="F2147" i="1"/>
  <c r="D2147" i="1"/>
  <c r="B2147" i="1"/>
  <c r="A2147" i="1"/>
  <c r="U2471" i="1"/>
  <c r="R2471" i="1"/>
  <c r="Q2471" i="1"/>
  <c r="P2471" i="1"/>
  <c r="O2471" i="1"/>
  <c r="N2471" i="1"/>
  <c r="M2471" i="1"/>
  <c r="J2471" i="1"/>
  <c r="I2471" i="1"/>
  <c r="H2471" i="1"/>
  <c r="F2471" i="1"/>
  <c r="D2471" i="1"/>
  <c r="B2471" i="1"/>
  <c r="A2471" i="1"/>
  <c r="U2472" i="1"/>
  <c r="R2472" i="1"/>
  <c r="Q2472" i="1"/>
  <c r="P2472" i="1"/>
  <c r="O2472" i="1"/>
  <c r="N2472" i="1"/>
  <c r="M2472" i="1"/>
  <c r="J2472" i="1"/>
  <c r="I2472" i="1"/>
  <c r="H2472" i="1"/>
  <c r="F2472" i="1"/>
  <c r="D2472" i="1"/>
  <c r="B2472" i="1"/>
  <c r="A2472" i="1"/>
  <c r="U2524" i="1"/>
  <c r="R2524" i="1"/>
  <c r="Q2524" i="1"/>
  <c r="P2524" i="1"/>
  <c r="O2524" i="1"/>
  <c r="N2524" i="1"/>
  <c r="M2524" i="1"/>
  <c r="K2524" i="1"/>
  <c r="J2524" i="1"/>
  <c r="I2524" i="1"/>
  <c r="H2524" i="1"/>
  <c r="F2524" i="1"/>
  <c r="D2524" i="1"/>
  <c r="B2524" i="1"/>
  <c r="A2524" i="1"/>
  <c r="U2529" i="1"/>
  <c r="R2529" i="1"/>
  <c r="Q2529" i="1"/>
  <c r="P2529" i="1"/>
  <c r="O2529" i="1"/>
  <c r="N2529" i="1"/>
  <c r="M2529" i="1"/>
  <c r="J2529" i="1"/>
  <c r="I2529" i="1"/>
  <c r="H2529" i="1"/>
  <c r="F2529" i="1"/>
  <c r="E2529" i="1"/>
  <c r="D2529" i="1"/>
  <c r="A2529" i="1"/>
  <c r="U2630" i="1"/>
  <c r="R2630" i="1"/>
  <c r="Q2630" i="1"/>
  <c r="P2630" i="1"/>
  <c r="O2630" i="1"/>
  <c r="N2630" i="1"/>
  <c r="M2630" i="1"/>
  <c r="J2630" i="1"/>
  <c r="I2630" i="1"/>
  <c r="H2630" i="1"/>
  <c r="F2630" i="1"/>
  <c r="D2630" i="1"/>
  <c r="B2630" i="1"/>
  <c r="A2630" i="1"/>
  <c r="U2548" i="1"/>
  <c r="R2548" i="1"/>
  <c r="Q2548" i="1"/>
  <c r="P2548" i="1"/>
  <c r="O2548" i="1"/>
  <c r="N2548" i="1"/>
  <c r="M2548" i="1"/>
  <c r="J2548" i="1"/>
  <c r="I2548" i="1"/>
  <c r="H2548" i="1"/>
  <c r="F2548" i="1"/>
  <c r="D2548" i="1"/>
  <c r="B2548" i="1"/>
  <c r="A2548" i="1"/>
  <c r="U2558" i="1"/>
  <c r="R2558" i="1"/>
  <c r="Q2558" i="1"/>
  <c r="P2558" i="1"/>
  <c r="O2558" i="1"/>
  <c r="N2558" i="1"/>
  <c r="M2558" i="1"/>
  <c r="J2558" i="1"/>
  <c r="I2558" i="1"/>
  <c r="H2558" i="1"/>
  <c r="G2558" i="1"/>
  <c r="F2558" i="1"/>
  <c r="D2558" i="1"/>
  <c r="A2558" i="1"/>
  <c r="U2919" i="1"/>
  <c r="R2919" i="1"/>
  <c r="Q2919" i="1"/>
  <c r="P2919" i="1"/>
  <c r="O2919" i="1"/>
  <c r="N2919" i="1"/>
  <c r="M2919" i="1"/>
  <c r="J2919" i="1"/>
  <c r="I2919" i="1"/>
  <c r="H2919" i="1"/>
  <c r="F2919" i="1"/>
  <c r="D2919" i="1"/>
  <c r="B2919" i="1"/>
  <c r="A2919" i="1"/>
  <c r="U2810" i="1"/>
  <c r="R2810" i="1"/>
  <c r="Q2810" i="1"/>
  <c r="P2810" i="1"/>
  <c r="O2810" i="1"/>
  <c r="N2810" i="1"/>
  <c r="M2810" i="1"/>
  <c r="K2810" i="1"/>
  <c r="J2810" i="1"/>
  <c r="I2810" i="1"/>
  <c r="H2810" i="1"/>
  <c r="F2810" i="1"/>
  <c r="D2810" i="1"/>
  <c r="B2810" i="1"/>
  <c r="A2810" i="1"/>
  <c r="U3013" i="1"/>
  <c r="R3013" i="1"/>
  <c r="Q3013" i="1"/>
  <c r="P3013" i="1"/>
  <c r="O3013" i="1"/>
  <c r="N3013" i="1"/>
  <c r="M3013" i="1"/>
  <c r="K3013" i="1"/>
  <c r="J3013" i="1"/>
  <c r="I3013" i="1"/>
  <c r="H3013" i="1"/>
  <c r="F3013" i="1"/>
  <c r="E3013" i="1"/>
  <c r="D3013" i="1"/>
  <c r="B3013" i="1"/>
  <c r="A3013" i="1"/>
  <c r="U3149" i="1"/>
  <c r="R3149" i="1"/>
  <c r="Q3149" i="1"/>
  <c r="P3149" i="1"/>
  <c r="O3149" i="1"/>
  <c r="N3149" i="1"/>
  <c r="M3149" i="1"/>
  <c r="K3149" i="1"/>
  <c r="J3149" i="1"/>
  <c r="I3149" i="1"/>
  <c r="H3149" i="1"/>
  <c r="G3149" i="1"/>
  <c r="F3149" i="1"/>
  <c r="D3149" i="1"/>
  <c r="B3149" i="1"/>
  <c r="A3149" i="1"/>
  <c r="U21" i="1"/>
  <c r="R21" i="1"/>
  <c r="Q21" i="1"/>
  <c r="P21" i="1"/>
  <c r="O21" i="1"/>
  <c r="N21" i="1"/>
  <c r="M21" i="1"/>
  <c r="J21" i="1"/>
  <c r="I21" i="1"/>
  <c r="H21" i="1"/>
  <c r="F21" i="1"/>
  <c r="D21" i="1"/>
  <c r="B21" i="1"/>
  <c r="A21" i="1"/>
  <c r="U98" i="1"/>
  <c r="R98" i="1"/>
  <c r="Q98" i="1"/>
  <c r="P98" i="1"/>
  <c r="O98" i="1"/>
  <c r="N98" i="1"/>
  <c r="M98" i="1"/>
  <c r="J98" i="1"/>
  <c r="I98" i="1"/>
  <c r="H98" i="1"/>
  <c r="F98" i="1"/>
  <c r="D98" i="1"/>
  <c r="B98" i="1"/>
  <c r="A98" i="1"/>
  <c r="U306" i="1"/>
  <c r="R306" i="1"/>
  <c r="Q306" i="1"/>
  <c r="P306" i="1"/>
  <c r="O306" i="1"/>
  <c r="N306" i="1"/>
  <c r="M306" i="1"/>
  <c r="J306" i="1"/>
  <c r="I306" i="1"/>
  <c r="H306" i="1"/>
  <c r="F306" i="1"/>
  <c r="D306" i="1"/>
  <c r="B306" i="1"/>
  <c r="A306" i="1"/>
  <c r="U276" i="1"/>
  <c r="R276" i="1"/>
  <c r="Q276" i="1"/>
  <c r="P276" i="1"/>
  <c r="O276" i="1"/>
  <c r="N276" i="1"/>
  <c r="M276" i="1"/>
  <c r="J276" i="1"/>
  <c r="I276" i="1"/>
  <c r="H276" i="1"/>
  <c r="F276" i="1"/>
  <c r="D276" i="1"/>
  <c r="B276" i="1"/>
  <c r="A276" i="1"/>
  <c r="U314" i="1"/>
  <c r="R314" i="1"/>
  <c r="Q314" i="1"/>
  <c r="P314" i="1"/>
  <c r="O314" i="1"/>
  <c r="N314" i="1"/>
  <c r="M314" i="1"/>
  <c r="J314" i="1"/>
  <c r="I314" i="1"/>
  <c r="H314" i="1"/>
  <c r="F314" i="1"/>
  <c r="D314" i="1"/>
  <c r="B314" i="1"/>
  <c r="A314" i="1"/>
  <c r="U355" i="1"/>
  <c r="R355" i="1"/>
  <c r="Q355" i="1"/>
  <c r="P355" i="1"/>
  <c r="O355" i="1"/>
  <c r="N355" i="1"/>
  <c r="M355" i="1"/>
  <c r="I355" i="1"/>
  <c r="H355" i="1"/>
  <c r="F355" i="1"/>
  <c r="D355" i="1"/>
  <c r="B355" i="1"/>
  <c r="A355" i="1"/>
  <c r="U361" i="1"/>
  <c r="R361" i="1"/>
  <c r="Q361" i="1"/>
  <c r="P361" i="1"/>
  <c r="O361" i="1"/>
  <c r="N361" i="1"/>
  <c r="M361" i="1"/>
  <c r="J361" i="1"/>
  <c r="I361" i="1"/>
  <c r="H361" i="1"/>
  <c r="F361" i="1"/>
  <c r="E361" i="1"/>
  <c r="D361" i="1"/>
  <c r="B361" i="1"/>
  <c r="A361" i="1"/>
  <c r="U379" i="1"/>
  <c r="R379" i="1"/>
  <c r="Q379" i="1"/>
  <c r="P379" i="1"/>
  <c r="O379" i="1"/>
  <c r="N379" i="1"/>
  <c r="M379" i="1"/>
  <c r="J379" i="1"/>
  <c r="I379" i="1"/>
  <c r="H379" i="1"/>
  <c r="F379" i="1"/>
  <c r="D379" i="1"/>
  <c r="B379" i="1"/>
  <c r="A379" i="1"/>
  <c r="U354" i="1"/>
  <c r="R354" i="1"/>
  <c r="Q354" i="1"/>
  <c r="P354" i="1"/>
  <c r="O354" i="1"/>
  <c r="N354" i="1"/>
  <c r="M354" i="1"/>
  <c r="J354" i="1"/>
  <c r="I354" i="1"/>
  <c r="H354" i="1"/>
  <c r="F354" i="1"/>
  <c r="E354" i="1"/>
  <c r="D354" i="1"/>
  <c r="B354" i="1"/>
  <c r="A354" i="1"/>
  <c r="U416" i="1"/>
  <c r="R416" i="1"/>
  <c r="Q416" i="1"/>
  <c r="P416" i="1"/>
  <c r="O416" i="1"/>
  <c r="N416" i="1"/>
  <c r="M416" i="1"/>
  <c r="I416" i="1"/>
  <c r="H416" i="1"/>
  <c r="F416" i="1"/>
  <c r="D416" i="1"/>
  <c r="B416" i="1"/>
  <c r="A416" i="1"/>
  <c r="U360" i="1"/>
  <c r="R360" i="1"/>
  <c r="Q360" i="1"/>
  <c r="P360" i="1"/>
  <c r="O360" i="1"/>
  <c r="N360" i="1"/>
  <c r="M360" i="1"/>
  <c r="J360" i="1"/>
  <c r="I360" i="1"/>
  <c r="H360" i="1"/>
  <c r="F360" i="1"/>
  <c r="E360" i="1"/>
  <c r="D360" i="1"/>
  <c r="B360" i="1"/>
  <c r="A360" i="1"/>
  <c r="U644" i="1"/>
  <c r="R644" i="1"/>
  <c r="Q644" i="1"/>
  <c r="P644" i="1"/>
  <c r="O644" i="1"/>
  <c r="N644" i="1"/>
  <c r="M644" i="1"/>
  <c r="J644" i="1"/>
  <c r="I644" i="1"/>
  <c r="H644" i="1"/>
  <c r="F644" i="1"/>
  <c r="D644" i="1"/>
  <c r="B644" i="1"/>
  <c r="A644" i="1"/>
  <c r="U742" i="1"/>
  <c r="R742" i="1"/>
  <c r="Q742" i="1"/>
  <c r="P742" i="1"/>
  <c r="O742" i="1"/>
  <c r="N742" i="1"/>
  <c r="M742" i="1"/>
  <c r="J742" i="1"/>
  <c r="I742" i="1"/>
  <c r="H742" i="1"/>
  <c r="F742" i="1"/>
  <c r="D742" i="1"/>
  <c r="B742" i="1"/>
  <c r="A742" i="1"/>
  <c r="U1146" i="1"/>
  <c r="R1146" i="1"/>
  <c r="Q1146" i="1"/>
  <c r="P1146" i="1"/>
  <c r="O1146" i="1"/>
  <c r="N1146" i="1"/>
  <c r="M1146" i="1"/>
  <c r="J1146" i="1"/>
  <c r="I1146" i="1"/>
  <c r="H1146" i="1"/>
  <c r="G1146" i="1"/>
  <c r="F1146" i="1"/>
  <c r="E1146" i="1"/>
  <c r="D1146" i="1"/>
  <c r="B1146" i="1"/>
  <c r="A1146" i="1"/>
  <c r="U1433" i="1"/>
  <c r="R1433" i="1"/>
  <c r="Q1433" i="1"/>
  <c r="P1433" i="1"/>
  <c r="O1433" i="1"/>
  <c r="N1433" i="1"/>
  <c r="M1433" i="1"/>
  <c r="J1433" i="1"/>
  <c r="I1433" i="1"/>
  <c r="H1433" i="1"/>
  <c r="F1433" i="1"/>
  <c r="D1433" i="1"/>
  <c r="A1433" i="1"/>
  <c r="U1446" i="1"/>
  <c r="R1446" i="1"/>
  <c r="Q1446" i="1"/>
  <c r="P1446" i="1"/>
  <c r="O1446" i="1"/>
  <c r="N1446" i="1"/>
  <c r="M1446" i="1"/>
  <c r="J1446" i="1"/>
  <c r="I1446" i="1"/>
  <c r="H1446" i="1"/>
  <c r="F1446" i="1"/>
  <c r="D1446" i="1"/>
  <c r="A1446" i="1"/>
  <c r="U1505" i="1"/>
  <c r="R1505" i="1"/>
  <c r="Q1505" i="1"/>
  <c r="P1505" i="1"/>
  <c r="O1505" i="1"/>
  <c r="N1505" i="1"/>
  <c r="M1505" i="1"/>
  <c r="J1505" i="1"/>
  <c r="I1505" i="1"/>
  <c r="H1505" i="1"/>
  <c r="F1505" i="1"/>
  <c r="D1505" i="1"/>
  <c r="B1505" i="1"/>
  <c r="A1505" i="1"/>
  <c r="U1544" i="1"/>
  <c r="R1544" i="1"/>
  <c r="Q1544" i="1"/>
  <c r="P1544" i="1"/>
  <c r="O1544" i="1"/>
  <c r="N1544" i="1"/>
  <c r="M1544" i="1"/>
  <c r="J1544" i="1"/>
  <c r="I1544" i="1"/>
  <c r="H1544" i="1"/>
  <c r="F1544" i="1"/>
  <c r="E1544" i="1"/>
  <c r="D1544" i="1"/>
  <c r="B1544" i="1"/>
  <c r="A1544" i="1"/>
  <c r="U1750" i="1"/>
  <c r="R1750" i="1"/>
  <c r="Q1750" i="1"/>
  <c r="P1750" i="1"/>
  <c r="O1750" i="1"/>
  <c r="N1750" i="1"/>
  <c r="M1750" i="1"/>
  <c r="K1750" i="1"/>
  <c r="J1750" i="1"/>
  <c r="I1750" i="1"/>
  <c r="H1750" i="1"/>
  <c r="F1750" i="1"/>
  <c r="D1750" i="1"/>
  <c r="B1750" i="1"/>
  <c r="A1750" i="1"/>
  <c r="U1897" i="1"/>
  <c r="R1897" i="1"/>
  <c r="Q1897" i="1"/>
  <c r="P1897" i="1"/>
  <c r="O1897" i="1"/>
  <c r="N1897" i="1"/>
  <c r="M1897" i="1"/>
  <c r="K1897" i="1"/>
  <c r="J1897" i="1"/>
  <c r="I1897" i="1"/>
  <c r="H1897" i="1"/>
  <c r="F1897" i="1"/>
  <c r="D1897" i="1"/>
  <c r="B1897" i="1"/>
  <c r="A1897" i="1"/>
  <c r="U1914" i="1"/>
  <c r="R1914" i="1"/>
  <c r="Q1914" i="1"/>
  <c r="P1914" i="1"/>
  <c r="O1914" i="1"/>
  <c r="N1914" i="1"/>
  <c r="M1914" i="1"/>
  <c r="I1914" i="1"/>
  <c r="H1914" i="1"/>
  <c r="G1914" i="1"/>
  <c r="F1914" i="1"/>
  <c r="D1914" i="1"/>
  <c r="A1914" i="1"/>
  <c r="U2208" i="1"/>
  <c r="R2208" i="1"/>
  <c r="Q2208" i="1"/>
  <c r="P2208" i="1"/>
  <c r="O2208" i="1"/>
  <c r="N2208" i="1"/>
  <c r="M2208" i="1"/>
  <c r="K2208" i="1"/>
  <c r="J2208" i="1"/>
  <c r="I2208" i="1"/>
  <c r="H2208" i="1"/>
  <c r="F2208" i="1"/>
  <c r="D2208" i="1"/>
  <c r="B2208" i="1"/>
  <c r="A2208" i="1"/>
  <c r="U2314" i="1"/>
  <c r="R2314" i="1"/>
  <c r="Q2314" i="1"/>
  <c r="P2314" i="1"/>
  <c r="O2314" i="1"/>
  <c r="N2314" i="1"/>
  <c r="M2314" i="1"/>
  <c r="K2314" i="1"/>
  <c r="J2314" i="1"/>
  <c r="I2314" i="1"/>
  <c r="H2314" i="1"/>
  <c r="F2314" i="1"/>
  <c r="D2314" i="1"/>
  <c r="A2314" i="1"/>
  <c r="U897" i="1"/>
  <c r="R897" i="1"/>
  <c r="Q897" i="1"/>
  <c r="P897" i="1"/>
  <c r="O897" i="1"/>
  <c r="N897" i="1"/>
  <c r="M897" i="1"/>
  <c r="J897" i="1"/>
  <c r="I897" i="1"/>
  <c r="H897" i="1"/>
  <c r="F897" i="1"/>
  <c r="D897" i="1"/>
  <c r="B897" i="1"/>
  <c r="A897" i="1"/>
  <c r="U974" i="1"/>
  <c r="R974" i="1"/>
  <c r="Q974" i="1"/>
  <c r="P974" i="1"/>
  <c r="O974" i="1"/>
  <c r="N974" i="1"/>
  <c r="M974" i="1"/>
  <c r="J974" i="1"/>
  <c r="I974" i="1"/>
  <c r="H974" i="1"/>
  <c r="F974" i="1"/>
  <c r="D974" i="1"/>
  <c r="B974" i="1"/>
  <c r="A974" i="1"/>
  <c r="U1338" i="1"/>
  <c r="R1338" i="1"/>
  <c r="Q1338" i="1"/>
  <c r="P1338" i="1"/>
  <c r="O1338" i="1"/>
  <c r="N1338" i="1"/>
  <c r="M1338" i="1"/>
  <c r="I1338" i="1"/>
  <c r="H1338" i="1"/>
  <c r="F1338" i="1"/>
  <c r="D1338" i="1"/>
  <c r="A1338" i="1"/>
  <c r="U1425" i="1"/>
  <c r="R1425" i="1"/>
  <c r="Q1425" i="1"/>
  <c r="P1425" i="1"/>
  <c r="O1425" i="1"/>
  <c r="N1425" i="1"/>
  <c r="M1425" i="1"/>
  <c r="J1425" i="1"/>
  <c r="I1425" i="1"/>
  <c r="H1425" i="1"/>
  <c r="F1425" i="1"/>
  <c r="D1425" i="1"/>
  <c r="B1425" i="1"/>
  <c r="A1425" i="1"/>
  <c r="U1701" i="1"/>
  <c r="R1701" i="1"/>
  <c r="Q1701" i="1"/>
  <c r="P1701" i="1"/>
  <c r="O1701" i="1"/>
  <c r="N1701" i="1"/>
  <c r="M1701" i="1"/>
  <c r="J1701" i="1"/>
  <c r="I1701" i="1"/>
  <c r="H1701" i="1"/>
  <c r="F1701" i="1"/>
  <c r="D1701" i="1"/>
  <c r="B1701" i="1"/>
  <c r="A1701" i="1"/>
  <c r="U2119" i="1"/>
  <c r="R2119" i="1"/>
  <c r="Q2119" i="1"/>
  <c r="P2119" i="1"/>
  <c r="O2119" i="1"/>
  <c r="N2119" i="1"/>
  <c r="M2119" i="1"/>
  <c r="K2119" i="1"/>
  <c r="J2119" i="1"/>
  <c r="I2119" i="1"/>
  <c r="H2119" i="1"/>
  <c r="F2119" i="1"/>
  <c r="D2119" i="1"/>
  <c r="B2119" i="1"/>
  <c r="A2119" i="1"/>
  <c r="U2586" i="1"/>
  <c r="R2586" i="1"/>
  <c r="Q2586" i="1"/>
  <c r="P2586" i="1"/>
  <c r="O2586" i="1"/>
  <c r="N2586" i="1"/>
  <c r="M2586" i="1"/>
  <c r="K2586" i="1"/>
  <c r="J2586" i="1"/>
  <c r="I2586" i="1"/>
  <c r="H2586" i="1"/>
  <c r="F2586" i="1"/>
  <c r="D2586" i="1"/>
  <c r="B2586" i="1"/>
  <c r="A2586" i="1"/>
  <c r="U2774" i="1"/>
  <c r="R2774" i="1"/>
  <c r="Q2774" i="1"/>
  <c r="P2774" i="1"/>
  <c r="O2774" i="1"/>
  <c r="N2774" i="1"/>
  <c r="M2774" i="1"/>
  <c r="K2774" i="1"/>
  <c r="J2774" i="1"/>
  <c r="I2774" i="1"/>
  <c r="H2774" i="1"/>
  <c r="F2774" i="1"/>
  <c r="D2774" i="1"/>
  <c r="B2774" i="1"/>
  <c r="A2774" i="1"/>
  <c r="U2517" i="1"/>
  <c r="R2517" i="1"/>
  <c r="Q2517" i="1"/>
  <c r="P2517" i="1"/>
  <c r="O2517" i="1"/>
  <c r="N2517" i="1"/>
  <c r="M2517" i="1"/>
  <c r="K2517" i="1"/>
  <c r="J2517" i="1"/>
  <c r="I2517" i="1"/>
  <c r="H2517" i="1"/>
  <c r="F2517" i="1"/>
  <c r="D2517" i="1"/>
  <c r="B2517" i="1"/>
  <c r="A2517" i="1"/>
  <c r="U2706" i="1"/>
  <c r="R2706" i="1"/>
  <c r="Q2706" i="1"/>
  <c r="P2706" i="1"/>
  <c r="O2706" i="1"/>
  <c r="N2706" i="1"/>
  <c r="M2706" i="1"/>
  <c r="J2706" i="1"/>
  <c r="I2706" i="1"/>
  <c r="H2706" i="1"/>
  <c r="F2706" i="1"/>
  <c r="D2706" i="1"/>
  <c r="B2706" i="1"/>
  <c r="A2706" i="1"/>
  <c r="U2745" i="1"/>
  <c r="R2745" i="1"/>
  <c r="Q2745" i="1"/>
  <c r="P2745" i="1"/>
  <c r="O2745" i="1"/>
  <c r="N2745" i="1"/>
  <c r="M2745" i="1"/>
  <c r="K2745" i="1"/>
  <c r="J2745" i="1"/>
  <c r="I2745" i="1"/>
  <c r="H2745" i="1"/>
  <c r="F2745" i="1"/>
  <c r="D2745" i="1"/>
  <c r="B2745" i="1"/>
  <c r="A2745" i="1"/>
  <c r="U2497" i="1"/>
  <c r="R2497" i="1"/>
  <c r="Q2497" i="1"/>
  <c r="P2497" i="1"/>
  <c r="O2497" i="1"/>
  <c r="N2497" i="1"/>
  <c r="M2497" i="1"/>
  <c r="K2497" i="1"/>
  <c r="J2497" i="1"/>
  <c r="I2497" i="1"/>
  <c r="H2497" i="1"/>
  <c r="F2497" i="1"/>
  <c r="E2497" i="1"/>
  <c r="D2497" i="1"/>
  <c r="B2497" i="1"/>
  <c r="A2497" i="1"/>
  <c r="U1608" i="1"/>
  <c r="R1608" i="1"/>
  <c r="Q1608" i="1"/>
  <c r="P1608" i="1"/>
  <c r="O1608" i="1"/>
  <c r="N1608" i="1"/>
  <c r="M1608" i="1"/>
  <c r="K1608" i="1"/>
  <c r="J1608" i="1"/>
  <c r="I1608" i="1"/>
  <c r="H1608" i="1"/>
  <c r="F1608" i="1"/>
  <c r="D1608" i="1"/>
  <c r="B1608" i="1"/>
  <c r="A1608" i="1"/>
  <c r="U2705" i="1"/>
  <c r="R2705" i="1"/>
  <c r="Q2705" i="1"/>
  <c r="P2705" i="1"/>
  <c r="O2705" i="1"/>
  <c r="N2705" i="1"/>
  <c r="M2705" i="1"/>
  <c r="K2705" i="1"/>
  <c r="J2705" i="1"/>
  <c r="I2705" i="1"/>
  <c r="H2705" i="1"/>
  <c r="F2705" i="1"/>
  <c r="E2705" i="1"/>
  <c r="D2705" i="1"/>
  <c r="B2705" i="1"/>
  <c r="A2705" i="1"/>
  <c r="U2814" i="1"/>
  <c r="R2814" i="1"/>
  <c r="Q2814" i="1"/>
  <c r="P2814" i="1"/>
  <c r="O2814" i="1"/>
  <c r="N2814" i="1"/>
  <c r="M2814" i="1"/>
  <c r="J2814" i="1"/>
  <c r="I2814" i="1"/>
  <c r="H2814" i="1"/>
  <c r="F2814" i="1"/>
  <c r="D2814" i="1"/>
  <c r="B2814" i="1"/>
  <c r="A2814" i="1"/>
  <c r="U2536" i="1"/>
  <c r="R2536" i="1"/>
  <c r="Q2536" i="1"/>
  <c r="P2536" i="1"/>
  <c r="O2536" i="1"/>
  <c r="N2536" i="1"/>
  <c r="M2536" i="1"/>
  <c r="J2536" i="1"/>
  <c r="I2536" i="1"/>
  <c r="H2536" i="1"/>
  <c r="F2536" i="1"/>
  <c r="D2536" i="1"/>
  <c r="B2536" i="1"/>
  <c r="A2536" i="1"/>
  <c r="U3118" i="1"/>
  <c r="R3118" i="1"/>
  <c r="Q3118" i="1"/>
  <c r="P3118" i="1"/>
  <c r="O3118" i="1"/>
  <c r="N3118" i="1"/>
  <c r="M3118" i="1"/>
  <c r="J3118" i="1"/>
  <c r="I3118" i="1"/>
  <c r="H3118" i="1"/>
  <c r="F3118" i="1"/>
  <c r="D3118" i="1"/>
  <c r="B3118" i="1"/>
  <c r="A3118" i="1"/>
  <c r="U2510" i="1"/>
  <c r="R2510" i="1"/>
  <c r="Q2510" i="1"/>
  <c r="P2510" i="1"/>
  <c r="O2510" i="1"/>
  <c r="N2510" i="1"/>
  <c r="M2510" i="1"/>
  <c r="K2510" i="1"/>
  <c r="J2510" i="1"/>
  <c r="I2510" i="1"/>
  <c r="H2510" i="1"/>
  <c r="F2510" i="1"/>
  <c r="D2510" i="1"/>
  <c r="B2510" i="1"/>
  <c r="A2510" i="1"/>
  <c r="U109" i="1"/>
  <c r="R109" i="1"/>
  <c r="Q109" i="1"/>
  <c r="P109" i="1"/>
  <c r="O109" i="1"/>
  <c r="N109" i="1"/>
  <c r="M109" i="1"/>
  <c r="I109" i="1"/>
  <c r="H109" i="1"/>
  <c r="F109" i="1"/>
  <c r="D109" i="1"/>
  <c r="B109" i="1"/>
  <c r="A109" i="1"/>
  <c r="U206" i="1"/>
  <c r="R206" i="1"/>
  <c r="Q206" i="1"/>
  <c r="P206" i="1"/>
  <c r="O206" i="1"/>
  <c r="N206" i="1"/>
  <c r="M206" i="1"/>
  <c r="I206" i="1"/>
  <c r="H206" i="1"/>
  <c r="F206" i="1"/>
  <c r="D206" i="1"/>
  <c r="B206" i="1"/>
  <c r="A206" i="1"/>
  <c r="U1586" i="1"/>
  <c r="R1586" i="1"/>
  <c r="Q1586" i="1"/>
  <c r="P1586" i="1"/>
  <c r="O1586" i="1"/>
  <c r="N1586" i="1"/>
  <c r="M1586" i="1"/>
  <c r="J1586" i="1"/>
  <c r="I1586" i="1"/>
  <c r="H1586" i="1"/>
  <c r="F1586" i="1"/>
  <c r="D1586" i="1"/>
  <c r="B1586" i="1"/>
  <c r="A1586" i="1"/>
  <c r="U2462" i="1"/>
  <c r="R2462" i="1"/>
  <c r="Q2462" i="1"/>
  <c r="P2462" i="1"/>
  <c r="O2462" i="1"/>
  <c r="N2462" i="1"/>
  <c r="M2462" i="1"/>
  <c r="J2462" i="1"/>
  <c r="I2462" i="1"/>
  <c r="H2462" i="1"/>
  <c r="F2462" i="1"/>
  <c r="D2462" i="1"/>
  <c r="B2462" i="1"/>
  <c r="A2462" i="1"/>
  <c r="U2361" i="1"/>
  <c r="R2361" i="1"/>
  <c r="Q2361" i="1"/>
  <c r="P2361" i="1"/>
  <c r="O2361" i="1"/>
  <c r="N2361" i="1"/>
  <c r="M2361" i="1"/>
  <c r="K2361" i="1"/>
  <c r="J2361" i="1"/>
  <c r="I2361" i="1"/>
  <c r="H2361" i="1"/>
  <c r="F2361" i="1"/>
  <c r="D2361" i="1"/>
  <c r="B2361" i="1"/>
  <c r="A2361" i="1"/>
  <c r="U2210" i="1"/>
  <c r="R2210" i="1"/>
  <c r="Q2210" i="1"/>
  <c r="P2210" i="1"/>
  <c r="O2210" i="1"/>
  <c r="N2210" i="1"/>
  <c r="M2210" i="1"/>
  <c r="K2210" i="1"/>
  <c r="J2210" i="1"/>
  <c r="I2210" i="1"/>
  <c r="H2210" i="1"/>
  <c r="G2210" i="1"/>
  <c r="F2210" i="1"/>
  <c r="D2210" i="1"/>
  <c r="B2210" i="1"/>
  <c r="A2210" i="1"/>
  <c r="U2516" i="1"/>
  <c r="R2516" i="1"/>
  <c r="Q2516" i="1"/>
  <c r="P2516" i="1"/>
  <c r="O2516" i="1"/>
  <c r="N2516" i="1"/>
  <c r="M2516" i="1"/>
  <c r="J2516" i="1"/>
  <c r="I2516" i="1"/>
  <c r="H2516" i="1"/>
  <c r="F2516" i="1"/>
  <c r="D2516" i="1"/>
  <c r="B2516" i="1"/>
  <c r="A2516" i="1"/>
  <c r="U3241" i="1"/>
  <c r="R3241" i="1"/>
  <c r="Q3241" i="1"/>
  <c r="P3241" i="1"/>
  <c r="O3241" i="1"/>
  <c r="N3241" i="1"/>
  <c r="M3241" i="1"/>
  <c r="J3241" i="1"/>
  <c r="I3241" i="1"/>
  <c r="H3241" i="1"/>
  <c r="F3241" i="1"/>
  <c r="D3241" i="1"/>
  <c r="B3241" i="1"/>
  <c r="A3241" i="1"/>
  <c r="U2515" i="1"/>
  <c r="R2515" i="1"/>
  <c r="Q2515" i="1"/>
  <c r="P2515" i="1"/>
  <c r="O2515" i="1"/>
  <c r="N2515" i="1"/>
  <c r="M2515" i="1"/>
  <c r="J2515" i="1"/>
  <c r="I2515" i="1"/>
  <c r="H2515" i="1"/>
  <c r="F2515" i="1"/>
  <c r="D2515" i="1"/>
  <c r="B2515" i="1"/>
  <c r="A2515" i="1"/>
  <c r="U253" i="1"/>
  <c r="R253" i="1"/>
  <c r="Q253" i="1"/>
  <c r="P253" i="1"/>
  <c r="O253" i="1"/>
  <c r="N253" i="1"/>
  <c r="M253" i="1"/>
  <c r="J253" i="1"/>
  <c r="I253" i="1"/>
  <c r="H253" i="1"/>
  <c r="F253" i="1"/>
  <c r="D253" i="1"/>
  <c r="B253" i="1"/>
  <c r="A253" i="1"/>
  <c r="U286" i="1"/>
  <c r="R286" i="1"/>
  <c r="Q286" i="1"/>
  <c r="P286" i="1"/>
  <c r="O286" i="1"/>
  <c r="N286" i="1"/>
  <c r="M286" i="1"/>
  <c r="J286" i="1"/>
  <c r="I286" i="1"/>
  <c r="H286" i="1"/>
  <c r="F286" i="1"/>
  <c r="D286" i="1"/>
  <c r="B286" i="1"/>
  <c r="A286" i="1"/>
  <c r="U369" i="1"/>
  <c r="R369" i="1"/>
  <c r="Q369" i="1"/>
  <c r="P369" i="1"/>
  <c r="O369" i="1"/>
  <c r="N369" i="1"/>
  <c r="M369" i="1"/>
  <c r="I369" i="1"/>
  <c r="H369" i="1"/>
  <c r="F369" i="1"/>
  <c r="D369" i="1"/>
  <c r="B369" i="1"/>
  <c r="A369" i="1"/>
  <c r="U449" i="1"/>
  <c r="R449" i="1"/>
  <c r="Q449" i="1"/>
  <c r="P449" i="1"/>
  <c r="O449" i="1"/>
  <c r="N449" i="1"/>
  <c r="M449" i="1"/>
  <c r="I449" i="1"/>
  <c r="H449" i="1"/>
  <c r="F449" i="1"/>
  <c r="D449" i="1"/>
  <c r="B449" i="1"/>
  <c r="A449" i="1"/>
  <c r="U448" i="1"/>
  <c r="R448" i="1"/>
  <c r="Q448" i="1"/>
  <c r="P448" i="1"/>
  <c r="O448" i="1"/>
  <c r="N448" i="1"/>
  <c r="M448" i="1"/>
  <c r="J448" i="1"/>
  <c r="I448" i="1"/>
  <c r="H448" i="1"/>
  <c r="F448" i="1"/>
  <c r="D448" i="1"/>
  <c r="B448" i="1"/>
  <c r="A448" i="1"/>
  <c r="U649" i="1"/>
  <c r="R649" i="1"/>
  <c r="Q649" i="1"/>
  <c r="P649" i="1"/>
  <c r="O649" i="1"/>
  <c r="N649" i="1"/>
  <c r="M649" i="1"/>
  <c r="J649" i="1"/>
  <c r="I649" i="1"/>
  <c r="H649" i="1"/>
  <c r="F649" i="1"/>
  <c r="D649" i="1"/>
  <c r="A649" i="1"/>
  <c r="U861" i="1"/>
  <c r="R861" i="1"/>
  <c r="Q861" i="1"/>
  <c r="P861" i="1"/>
  <c r="O861" i="1"/>
  <c r="N861" i="1"/>
  <c r="M861" i="1"/>
  <c r="J861" i="1"/>
  <c r="I861" i="1"/>
  <c r="H861" i="1"/>
  <c r="F861" i="1"/>
  <c r="D861" i="1"/>
  <c r="B861" i="1"/>
  <c r="A861" i="1"/>
  <c r="U604" i="1"/>
  <c r="R604" i="1"/>
  <c r="Q604" i="1"/>
  <c r="P604" i="1"/>
  <c r="O604" i="1"/>
  <c r="N604" i="1"/>
  <c r="M604" i="1"/>
  <c r="J604" i="1"/>
  <c r="I604" i="1"/>
  <c r="H604" i="1"/>
  <c r="F604" i="1"/>
  <c r="D604" i="1"/>
  <c r="B604" i="1"/>
  <c r="A604" i="1"/>
  <c r="U934" i="1"/>
  <c r="R934" i="1"/>
  <c r="Q934" i="1"/>
  <c r="P934" i="1"/>
  <c r="O934" i="1"/>
  <c r="N934" i="1"/>
  <c r="M934" i="1"/>
  <c r="J934" i="1"/>
  <c r="I934" i="1"/>
  <c r="H934" i="1"/>
  <c r="F934" i="1"/>
  <c r="D934" i="1"/>
  <c r="B934" i="1"/>
  <c r="A934" i="1"/>
  <c r="U765" i="1"/>
  <c r="R765" i="1"/>
  <c r="Q765" i="1"/>
  <c r="P765" i="1"/>
  <c r="O765" i="1"/>
  <c r="N765" i="1"/>
  <c r="M765" i="1"/>
  <c r="J765" i="1"/>
  <c r="I765" i="1"/>
  <c r="H765" i="1"/>
  <c r="F765" i="1"/>
  <c r="D765" i="1"/>
  <c r="B765" i="1"/>
  <c r="A765" i="1"/>
  <c r="U980" i="1"/>
  <c r="R980" i="1"/>
  <c r="Q980" i="1"/>
  <c r="P980" i="1"/>
  <c r="O980" i="1"/>
  <c r="N980" i="1"/>
  <c r="M980" i="1"/>
  <c r="J980" i="1"/>
  <c r="I980" i="1"/>
  <c r="H980" i="1"/>
  <c r="F980" i="1"/>
  <c r="D980" i="1"/>
  <c r="B980" i="1"/>
  <c r="A980" i="1"/>
  <c r="U1104" i="1"/>
  <c r="R1104" i="1"/>
  <c r="Q1104" i="1"/>
  <c r="P1104" i="1"/>
  <c r="O1104" i="1"/>
  <c r="N1104" i="1"/>
  <c r="M1104" i="1"/>
  <c r="J1104" i="1"/>
  <c r="I1104" i="1"/>
  <c r="H1104" i="1"/>
  <c r="F1104" i="1"/>
  <c r="D1104" i="1"/>
  <c r="B1104" i="1"/>
  <c r="A1104" i="1"/>
  <c r="U1415" i="1"/>
  <c r="R1415" i="1"/>
  <c r="Q1415" i="1"/>
  <c r="P1415" i="1"/>
  <c r="O1415" i="1"/>
  <c r="N1415" i="1"/>
  <c r="M1415" i="1"/>
  <c r="J1415" i="1"/>
  <c r="I1415" i="1"/>
  <c r="H1415" i="1"/>
  <c r="F1415" i="1"/>
  <c r="D1415" i="1"/>
  <c r="B1415" i="1"/>
  <c r="A1415" i="1"/>
  <c r="U1662" i="1"/>
  <c r="R1662" i="1"/>
  <c r="Q1662" i="1"/>
  <c r="P1662" i="1"/>
  <c r="O1662" i="1"/>
  <c r="N1662" i="1"/>
  <c r="M1662" i="1"/>
  <c r="J1662" i="1"/>
  <c r="I1662" i="1"/>
  <c r="H1662" i="1"/>
  <c r="F1662" i="1"/>
  <c r="D1662" i="1"/>
  <c r="A1662" i="1"/>
  <c r="U2312" i="1"/>
  <c r="R2312" i="1"/>
  <c r="Q2312" i="1"/>
  <c r="P2312" i="1"/>
  <c r="O2312" i="1"/>
  <c r="N2312" i="1"/>
  <c r="M2312" i="1"/>
  <c r="K2312" i="1"/>
  <c r="J2312" i="1"/>
  <c r="I2312" i="1"/>
  <c r="H2312" i="1"/>
  <c r="F2312" i="1"/>
  <c r="D2312" i="1"/>
  <c r="B2312" i="1"/>
  <c r="A2312" i="1"/>
  <c r="U2408" i="1"/>
  <c r="R2408" i="1"/>
  <c r="Q2408" i="1"/>
  <c r="P2408" i="1"/>
  <c r="O2408" i="1"/>
  <c r="N2408" i="1"/>
  <c r="M2408" i="1"/>
  <c r="K2408" i="1"/>
  <c r="J2408" i="1"/>
  <c r="I2408" i="1"/>
  <c r="H2408" i="1"/>
  <c r="F2408" i="1"/>
  <c r="D2408" i="1"/>
  <c r="B2408" i="1"/>
  <c r="A2408" i="1"/>
  <c r="U2901" i="1"/>
  <c r="R2901" i="1"/>
  <c r="Q2901" i="1"/>
  <c r="P2901" i="1"/>
  <c r="O2901" i="1"/>
  <c r="N2901" i="1"/>
  <c r="M2901" i="1"/>
  <c r="K2901" i="1"/>
  <c r="J2901" i="1"/>
  <c r="I2901" i="1"/>
  <c r="H2901" i="1"/>
  <c r="F2901" i="1"/>
  <c r="D2901" i="1"/>
  <c r="B2901" i="1"/>
  <c r="A2901" i="1"/>
  <c r="U148" i="1"/>
  <c r="R148" i="1"/>
  <c r="Q148" i="1"/>
  <c r="P148" i="1"/>
  <c r="O148" i="1"/>
  <c r="N148" i="1"/>
  <c r="M148" i="1"/>
  <c r="J148" i="1"/>
  <c r="I148" i="1"/>
  <c r="H148" i="1"/>
  <c r="F148" i="1"/>
  <c r="D148" i="1"/>
  <c r="B148" i="1"/>
  <c r="A148" i="1"/>
  <c r="U1161" i="1"/>
  <c r="R1161" i="1"/>
  <c r="Q1161" i="1"/>
  <c r="P1161" i="1"/>
  <c r="O1161" i="1"/>
  <c r="N1161" i="1"/>
  <c r="M1161" i="1"/>
  <c r="J1161" i="1"/>
  <c r="I1161" i="1"/>
  <c r="H1161" i="1"/>
  <c r="F1161" i="1"/>
  <c r="D1161" i="1"/>
  <c r="B1161" i="1"/>
  <c r="A1161" i="1"/>
  <c r="U1874" i="1"/>
  <c r="R1874" i="1"/>
  <c r="Q1874" i="1"/>
  <c r="P1874" i="1"/>
  <c r="O1874" i="1"/>
  <c r="N1874" i="1"/>
  <c r="M1874" i="1"/>
  <c r="J1874" i="1"/>
  <c r="I1874" i="1"/>
  <c r="H1874" i="1"/>
  <c r="F1874" i="1"/>
  <c r="D1874" i="1"/>
  <c r="B1874" i="1"/>
  <c r="A1874" i="1"/>
  <c r="U2384" i="1"/>
  <c r="R2384" i="1"/>
  <c r="Q2384" i="1"/>
  <c r="P2384" i="1"/>
  <c r="O2384" i="1"/>
  <c r="N2384" i="1"/>
  <c r="M2384" i="1"/>
  <c r="J2384" i="1"/>
  <c r="I2384" i="1"/>
  <c r="H2384" i="1"/>
  <c r="F2384" i="1"/>
  <c r="D2384" i="1"/>
  <c r="B2384" i="1"/>
  <c r="A2384" i="1"/>
  <c r="U2433" i="1"/>
  <c r="R2433" i="1"/>
  <c r="Q2433" i="1"/>
  <c r="P2433" i="1"/>
  <c r="O2433" i="1"/>
  <c r="N2433" i="1"/>
  <c r="M2433" i="1"/>
  <c r="J2433" i="1"/>
  <c r="I2433" i="1"/>
  <c r="H2433" i="1"/>
  <c r="F2433" i="1"/>
  <c r="D2433" i="1"/>
  <c r="B2433" i="1"/>
  <c r="A2433" i="1"/>
  <c r="U2771" i="1"/>
  <c r="R2771" i="1"/>
  <c r="Q2771" i="1"/>
  <c r="P2771" i="1"/>
  <c r="O2771" i="1"/>
  <c r="N2771" i="1"/>
  <c r="M2771" i="1"/>
  <c r="J2771" i="1"/>
  <c r="I2771" i="1"/>
  <c r="H2771" i="1"/>
  <c r="F2771" i="1"/>
  <c r="D2771" i="1"/>
  <c r="B2771" i="1"/>
  <c r="A2771" i="1"/>
  <c r="U2842" i="1"/>
  <c r="R2842" i="1"/>
  <c r="Q2842" i="1"/>
  <c r="P2842" i="1"/>
  <c r="O2842" i="1"/>
  <c r="N2842" i="1"/>
  <c r="M2842" i="1"/>
  <c r="J2842" i="1"/>
  <c r="I2842" i="1"/>
  <c r="H2842" i="1"/>
  <c r="G2842" i="1"/>
  <c r="F2842" i="1"/>
  <c r="D2842" i="1"/>
  <c r="B2842" i="1"/>
  <c r="A2842" i="1"/>
  <c r="U2486" i="1"/>
  <c r="R2486" i="1"/>
  <c r="Q2486" i="1"/>
  <c r="P2486" i="1"/>
  <c r="O2486" i="1"/>
  <c r="N2486" i="1"/>
  <c r="M2486" i="1"/>
  <c r="K2486" i="1"/>
  <c r="J2486" i="1"/>
  <c r="I2486" i="1"/>
  <c r="H2486" i="1"/>
  <c r="F2486" i="1"/>
  <c r="D2486" i="1"/>
  <c r="B2486" i="1"/>
  <c r="A2486" i="1"/>
  <c r="U2521" i="1"/>
  <c r="R2521" i="1"/>
  <c r="Q2521" i="1"/>
  <c r="P2521" i="1"/>
  <c r="O2521" i="1"/>
  <c r="N2521" i="1"/>
  <c r="M2521" i="1"/>
  <c r="K2521" i="1"/>
  <c r="J2521" i="1"/>
  <c r="I2521" i="1"/>
  <c r="H2521" i="1"/>
  <c r="F2521" i="1"/>
  <c r="D2521" i="1"/>
  <c r="B2521" i="1"/>
  <c r="A2521" i="1"/>
  <c r="U3192" i="1"/>
  <c r="R3192" i="1"/>
  <c r="Q3192" i="1"/>
  <c r="P3192" i="1"/>
  <c r="O3192" i="1"/>
  <c r="N3192" i="1"/>
  <c r="M3192" i="1"/>
  <c r="K3192" i="1"/>
  <c r="J3192" i="1"/>
  <c r="I3192" i="1"/>
  <c r="H3192" i="1"/>
  <c r="F3192" i="1"/>
  <c r="D3192" i="1"/>
  <c r="B3192" i="1"/>
  <c r="A3192" i="1"/>
  <c r="U2587" i="1"/>
  <c r="R2587" i="1"/>
  <c r="Q2587" i="1"/>
  <c r="P2587" i="1"/>
  <c r="O2587" i="1"/>
  <c r="N2587" i="1"/>
  <c r="M2587" i="1"/>
  <c r="K2587" i="1"/>
  <c r="J2587" i="1"/>
  <c r="I2587" i="1"/>
  <c r="H2587" i="1"/>
  <c r="F2587" i="1"/>
  <c r="D2587" i="1"/>
  <c r="B2587" i="1"/>
  <c r="A2587" i="1"/>
  <c r="U2688" i="1"/>
  <c r="R2688" i="1"/>
  <c r="Q2688" i="1"/>
  <c r="P2688" i="1"/>
  <c r="O2688" i="1"/>
  <c r="N2688" i="1"/>
  <c r="M2688" i="1"/>
  <c r="K2688" i="1"/>
  <c r="J2688" i="1"/>
  <c r="I2688" i="1"/>
  <c r="H2688" i="1"/>
  <c r="F2688" i="1"/>
  <c r="D2688" i="1"/>
  <c r="B2688" i="1"/>
  <c r="A2688" i="1"/>
  <c r="U91" i="1"/>
  <c r="R91" i="1"/>
  <c r="Q91" i="1"/>
  <c r="P91" i="1"/>
  <c r="O91" i="1"/>
  <c r="N91" i="1"/>
  <c r="M91" i="1"/>
  <c r="J91" i="1"/>
  <c r="I91" i="1"/>
  <c r="H91" i="1"/>
  <c r="F91" i="1"/>
  <c r="D91" i="1"/>
  <c r="B91" i="1"/>
  <c r="A91" i="1"/>
  <c r="U60" i="1"/>
  <c r="R60" i="1"/>
  <c r="Q60" i="1"/>
  <c r="P60" i="1"/>
  <c r="O60" i="1"/>
  <c r="N60" i="1"/>
  <c r="M60" i="1"/>
  <c r="J60" i="1"/>
  <c r="I60" i="1"/>
  <c r="H60" i="1"/>
  <c r="F60" i="1"/>
  <c r="D60" i="1"/>
  <c r="B60" i="1"/>
  <c r="A60" i="1"/>
  <c r="U70" i="1"/>
  <c r="R70" i="1"/>
  <c r="Q70" i="1"/>
  <c r="P70" i="1"/>
  <c r="O70" i="1"/>
  <c r="N70" i="1"/>
  <c r="M70" i="1"/>
  <c r="J70" i="1"/>
  <c r="I70" i="1"/>
  <c r="H70" i="1"/>
  <c r="F70" i="1"/>
  <c r="D70" i="1"/>
  <c r="B70" i="1"/>
  <c r="A70" i="1"/>
  <c r="U132" i="1"/>
  <c r="R132" i="1"/>
  <c r="Q132" i="1"/>
  <c r="P132" i="1"/>
  <c r="O132" i="1"/>
  <c r="N132" i="1"/>
  <c r="M132" i="1"/>
  <c r="J132" i="1"/>
  <c r="I132" i="1"/>
  <c r="H132" i="1"/>
  <c r="G132" i="1"/>
  <c r="F132" i="1"/>
  <c r="D132" i="1"/>
  <c r="B132" i="1"/>
  <c r="A132" i="1"/>
  <c r="U172" i="1"/>
  <c r="R172" i="1"/>
  <c r="Q172" i="1"/>
  <c r="P172" i="1"/>
  <c r="O172" i="1"/>
  <c r="N172" i="1"/>
  <c r="M172" i="1"/>
  <c r="J172" i="1"/>
  <c r="I172" i="1"/>
  <c r="H172" i="1"/>
  <c r="F172" i="1"/>
  <c r="D172" i="1"/>
  <c r="B172" i="1"/>
  <c r="A172" i="1"/>
  <c r="U307" i="1"/>
  <c r="R307" i="1"/>
  <c r="Q307" i="1"/>
  <c r="P307" i="1"/>
  <c r="O307" i="1"/>
  <c r="N307" i="1"/>
  <c r="M307" i="1"/>
  <c r="J307" i="1"/>
  <c r="I307" i="1"/>
  <c r="H307" i="1"/>
  <c r="F307" i="1"/>
  <c r="D307" i="1"/>
  <c r="B307" i="1"/>
  <c r="A307" i="1"/>
  <c r="U244" i="1"/>
  <c r="R244" i="1"/>
  <c r="Q244" i="1"/>
  <c r="P244" i="1"/>
  <c r="O244" i="1"/>
  <c r="N244" i="1"/>
  <c r="M244" i="1"/>
  <c r="J244" i="1"/>
  <c r="I244" i="1"/>
  <c r="H244" i="1"/>
  <c r="F244" i="1"/>
  <c r="D244" i="1"/>
  <c r="B244" i="1"/>
  <c r="A244" i="1"/>
  <c r="U347" i="1"/>
  <c r="R347" i="1"/>
  <c r="Q347" i="1"/>
  <c r="P347" i="1"/>
  <c r="O347" i="1"/>
  <c r="N347" i="1"/>
  <c r="M347" i="1"/>
  <c r="J347" i="1"/>
  <c r="I347" i="1"/>
  <c r="H347" i="1"/>
  <c r="F347" i="1"/>
  <c r="D347" i="1"/>
  <c r="B347" i="1"/>
  <c r="A347" i="1"/>
  <c r="U147" i="1"/>
  <c r="R147" i="1"/>
  <c r="Q147" i="1"/>
  <c r="P147" i="1"/>
  <c r="O147" i="1"/>
  <c r="N147" i="1"/>
  <c r="M147" i="1"/>
  <c r="I147" i="1"/>
  <c r="H147" i="1"/>
  <c r="F147" i="1"/>
  <c r="D147" i="1"/>
  <c r="B147" i="1"/>
  <c r="A147" i="1"/>
  <c r="U252" i="1"/>
  <c r="R252" i="1"/>
  <c r="Q252" i="1"/>
  <c r="P252" i="1"/>
  <c r="O252" i="1"/>
  <c r="N252" i="1"/>
  <c r="M252" i="1"/>
  <c r="J252" i="1"/>
  <c r="I252" i="1"/>
  <c r="H252" i="1"/>
  <c r="F252" i="1"/>
  <c r="D252" i="1"/>
  <c r="B252" i="1"/>
  <c r="A252" i="1"/>
  <c r="U384" i="1"/>
  <c r="R384" i="1"/>
  <c r="Q384" i="1"/>
  <c r="P384" i="1"/>
  <c r="O384" i="1"/>
  <c r="N384" i="1"/>
  <c r="M384" i="1"/>
  <c r="J384" i="1"/>
  <c r="I384" i="1"/>
  <c r="H384" i="1"/>
  <c r="F384" i="1"/>
  <c r="D384" i="1"/>
  <c r="B384" i="1"/>
  <c r="A384" i="1"/>
  <c r="U368" i="1"/>
  <c r="R368" i="1"/>
  <c r="Q368" i="1"/>
  <c r="P368" i="1"/>
  <c r="O368" i="1"/>
  <c r="N368" i="1"/>
  <c r="M368" i="1"/>
  <c r="J368" i="1"/>
  <c r="I368" i="1"/>
  <c r="H368" i="1"/>
  <c r="F368" i="1"/>
  <c r="D368" i="1"/>
  <c r="B368" i="1"/>
  <c r="A368" i="1"/>
  <c r="U505" i="1"/>
  <c r="R505" i="1"/>
  <c r="Q505" i="1"/>
  <c r="P505" i="1"/>
  <c r="O505" i="1"/>
  <c r="N505" i="1"/>
  <c r="M505" i="1"/>
  <c r="J505" i="1"/>
  <c r="I505" i="1"/>
  <c r="H505" i="1"/>
  <c r="F505" i="1"/>
  <c r="D505" i="1"/>
  <c r="B505" i="1"/>
  <c r="A505" i="1"/>
  <c r="U687" i="1"/>
  <c r="R687" i="1"/>
  <c r="Q687" i="1"/>
  <c r="P687" i="1"/>
  <c r="O687" i="1"/>
  <c r="N687" i="1"/>
  <c r="M687" i="1"/>
  <c r="J687" i="1"/>
  <c r="I687" i="1"/>
  <c r="H687" i="1"/>
  <c r="F687" i="1"/>
  <c r="D687" i="1"/>
  <c r="B687" i="1"/>
  <c r="A687" i="1"/>
  <c r="U378" i="1"/>
  <c r="R378" i="1"/>
  <c r="Q378" i="1"/>
  <c r="P378" i="1"/>
  <c r="O378" i="1"/>
  <c r="N378" i="1"/>
  <c r="M378" i="1"/>
  <c r="J378" i="1"/>
  <c r="I378" i="1"/>
  <c r="H378" i="1"/>
  <c r="F378" i="1"/>
  <c r="D378" i="1"/>
  <c r="B378" i="1"/>
  <c r="A378" i="1"/>
  <c r="U263" i="1"/>
  <c r="R263" i="1"/>
  <c r="Q263" i="1"/>
  <c r="P263" i="1"/>
  <c r="O263" i="1"/>
  <c r="N263" i="1"/>
  <c r="M263" i="1"/>
  <c r="J263" i="1"/>
  <c r="I263" i="1"/>
  <c r="H263" i="1"/>
  <c r="F263" i="1"/>
  <c r="E263" i="1"/>
  <c r="D263" i="1"/>
  <c r="B263" i="1"/>
  <c r="A263" i="1"/>
  <c r="U642" i="1"/>
  <c r="R642" i="1"/>
  <c r="Q642" i="1"/>
  <c r="P642" i="1"/>
  <c r="O642" i="1"/>
  <c r="N642" i="1"/>
  <c r="M642" i="1"/>
  <c r="J642" i="1"/>
  <c r="I642" i="1"/>
  <c r="H642" i="1"/>
  <c r="G642" i="1"/>
  <c r="F642" i="1"/>
  <c r="D642" i="1"/>
  <c r="B642" i="1"/>
  <c r="A642" i="1"/>
  <c r="U599" i="1"/>
  <c r="R599" i="1"/>
  <c r="Q599" i="1"/>
  <c r="P599" i="1"/>
  <c r="O599" i="1"/>
  <c r="N599" i="1"/>
  <c r="M599" i="1"/>
  <c r="J599" i="1"/>
  <c r="I599" i="1"/>
  <c r="H599" i="1"/>
  <c r="F599" i="1"/>
  <c r="D599" i="1"/>
  <c r="B599" i="1"/>
  <c r="A599" i="1"/>
  <c r="U679" i="1"/>
  <c r="R679" i="1"/>
  <c r="Q679" i="1"/>
  <c r="P679" i="1"/>
  <c r="O679" i="1"/>
  <c r="N679" i="1"/>
  <c r="M679" i="1"/>
  <c r="J679" i="1"/>
  <c r="I679" i="1"/>
  <c r="H679" i="1"/>
  <c r="F679" i="1"/>
  <c r="D679" i="1"/>
  <c r="B679" i="1"/>
  <c r="A679" i="1"/>
  <c r="U761" i="1"/>
  <c r="R761" i="1"/>
  <c r="Q761" i="1"/>
  <c r="P761" i="1"/>
  <c r="O761" i="1"/>
  <c r="N761" i="1"/>
  <c r="M761" i="1"/>
  <c r="J761" i="1"/>
  <c r="I761" i="1"/>
  <c r="H761" i="1"/>
  <c r="F761" i="1"/>
  <c r="D761" i="1"/>
  <c r="B761" i="1"/>
  <c r="A761" i="1"/>
  <c r="U542" i="1"/>
  <c r="R542" i="1"/>
  <c r="Q542" i="1"/>
  <c r="P542" i="1"/>
  <c r="O542" i="1"/>
  <c r="N542" i="1"/>
  <c r="M542" i="1"/>
  <c r="I542" i="1"/>
  <c r="H542" i="1"/>
  <c r="G542" i="1"/>
  <c r="F542" i="1"/>
  <c r="D542" i="1"/>
  <c r="B542" i="1"/>
  <c r="A542" i="1"/>
  <c r="U772" i="1"/>
  <c r="R772" i="1"/>
  <c r="Q772" i="1"/>
  <c r="P772" i="1"/>
  <c r="O772" i="1"/>
  <c r="N772" i="1"/>
  <c r="M772" i="1"/>
  <c r="J772" i="1"/>
  <c r="I772" i="1"/>
  <c r="H772" i="1"/>
  <c r="G772" i="1"/>
  <c r="F772" i="1"/>
  <c r="D772" i="1"/>
  <c r="B772" i="1"/>
  <c r="A772" i="1"/>
  <c r="U855" i="1"/>
  <c r="R855" i="1"/>
  <c r="Q855" i="1"/>
  <c r="P855" i="1"/>
  <c r="O855" i="1"/>
  <c r="N855" i="1"/>
  <c r="M855" i="1"/>
  <c r="J855" i="1"/>
  <c r="I855" i="1"/>
  <c r="H855" i="1"/>
  <c r="F855" i="1"/>
  <c r="D855" i="1"/>
  <c r="B855" i="1"/>
  <c r="A855" i="1"/>
  <c r="U837" i="1"/>
  <c r="R837" i="1"/>
  <c r="Q837" i="1"/>
  <c r="P837" i="1"/>
  <c r="O837" i="1"/>
  <c r="N837" i="1"/>
  <c r="M837" i="1"/>
  <c r="J837" i="1"/>
  <c r="I837" i="1"/>
  <c r="H837" i="1"/>
  <c r="F837" i="1"/>
  <c r="D837" i="1"/>
  <c r="B837" i="1"/>
  <c r="A837" i="1"/>
  <c r="U799" i="1"/>
  <c r="R799" i="1"/>
  <c r="Q799" i="1"/>
  <c r="P799" i="1"/>
  <c r="O799" i="1"/>
  <c r="N799" i="1"/>
  <c r="M799" i="1"/>
  <c r="J799" i="1"/>
  <c r="I799" i="1"/>
  <c r="H799" i="1"/>
  <c r="F799" i="1"/>
  <c r="D799" i="1"/>
  <c r="B799" i="1"/>
  <c r="A799" i="1"/>
  <c r="U902" i="1"/>
  <c r="R902" i="1"/>
  <c r="Q902" i="1"/>
  <c r="P902" i="1"/>
  <c r="O902" i="1"/>
  <c r="N902" i="1"/>
  <c r="M902" i="1"/>
  <c r="J902" i="1"/>
  <c r="I902" i="1"/>
  <c r="H902" i="1"/>
  <c r="F902" i="1"/>
  <c r="D902" i="1"/>
  <c r="B902" i="1"/>
  <c r="A902" i="1"/>
  <c r="U798" i="1"/>
  <c r="R798" i="1"/>
  <c r="Q798" i="1"/>
  <c r="P798" i="1"/>
  <c r="O798" i="1"/>
  <c r="N798" i="1"/>
  <c r="M798" i="1"/>
  <c r="J798" i="1"/>
  <c r="I798" i="1"/>
  <c r="H798" i="1"/>
  <c r="F798" i="1"/>
  <c r="D798" i="1"/>
  <c r="B798" i="1"/>
  <c r="A798" i="1"/>
  <c r="U776" i="1"/>
  <c r="R776" i="1"/>
  <c r="Q776" i="1"/>
  <c r="P776" i="1"/>
  <c r="O776" i="1"/>
  <c r="N776" i="1"/>
  <c r="M776" i="1"/>
  <c r="J776" i="1"/>
  <c r="I776" i="1"/>
  <c r="H776" i="1"/>
  <c r="F776" i="1"/>
  <c r="E776" i="1"/>
  <c r="D776" i="1"/>
  <c r="B776" i="1"/>
  <c r="A776" i="1"/>
  <c r="U1007" i="1"/>
  <c r="R1007" i="1"/>
  <c r="Q1007" i="1"/>
  <c r="P1007" i="1"/>
  <c r="O1007" i="1"/>
  <c r="N1007" i="1"/>
  <c r="M1007" i="1"/>
  <c r="J1007" i="1"/>
  <c r="I1007" i="1"/>
  <c r="H1007" i="1"/>
  <c r="F1007" i="1"/>
  <c r="D1007" i="1"/>
  <c r="B1007" i="1"/>
  <c r="A1007" i="1"/>
  <c r="U862" i="1"/>
  <c r="R862" i="1"/>
  <c r="Q862" i="1"/>
  <c r="P862" i="1"/>
  <c r="O862" i="1"/>
  <c r="N862" i="1"/>
  <c r="M862" i="1"/>
  <c r="J862" i="1"/>
  <c r="I862" i="1"/>
  <c r="H862" i="1"/>
  <c r="F862" i="1"/>
  <c r="E862" i="1"/>
  <c r="D862" i="1"/>
  <c r="B862" i="1"/>
  <c r="A862" i="1"/>
  <c r="U1075" i="1"/>
  <c r="R1075" i="1"/>
  <c r="Q1075" i="1"/>
  <c r="P1075" i="1"/>
  <c r="O1075" i="1"/>
  <c r="N1075" i="1"/>
  <c r="M1075" i="1"/>
  <c r="J1075" i="1"/>
  <c r="I1075" i="1"/>
  <c r="H1075" i="1"/>
  <c r="F1075" i="1"/>
  <c r="D1075" i="1"/>
  <c r="B1075" i="1"/>
  <c r="A1075" i="1"/>
  <c r="U1095" i="1"/>
  <c r="R1095" i="1"/>
  <c r="Q1095" i="1"/>
  <c r="P1095" i="1"/>
  <c r="O1095" i="1"/>
  <c r="N1095" i="1"/>
  <c r="M1095" i="1"/>
  <c r="J1095" i="1"/>
  <c r="I1095" i="1"/>
  <c r="H1095" i="1"/>
  <c r="F1095" i="1"/>
  <c r="D1095" i="1"/>
  <c r="B1095" i="1"/>
  <c r="A1095" i="1"/>
  <c r="U863" i="1"/>
  <c r="R863" i="1"/>
  <c r="Q863" i="1"/>
  <c r="P863" i="1"/>
  <c r="O863" i="1"/>
  <c r="N863" i="1"/>
  <c r="M863" i="1"/>
  <c r="J863" i="1"/>
  <c r="I863" i="1"/>
  <c r="H863" i="1"/>
  <c r="F863" i="1"/>
  <c r="D863" i="1"/>
  <c r="B863" i="1"/>
  <c r="A863" i="1"/>
  <c r="U1145" i="1"/>
  <c r="R1145" i="1"/>
  <c r="Q1145" i="1"/>
  <c r="P1145" i="1"/>
  <c r="O1145" i="1"/>
  <c r="N1145" i="1"/>
  <c r="M1145" i="1"/>
  <c r="I1145" i="1"/>
  <c r="H1145" i="1"/>
  <c r="F1145" i="1"/>
  <c r="D1145" i="1"/>
  <c r="B1145" i="1"/>
  <c r="A1145" i="1"/>
  <c r="U456" i="1"/>
  <c r="R456" i="1"/>
  <c r="Q456" i="1"/>
  <c r="P456" i="1"/>
  <c r="O456" i="1"/>
  <c r="N456" i="1"/>
  <c r="M456" i="1"/>
  <c r="I456" i="1"/>
  <c r="H456" i="1"/>
  <c r="F456" i="1"/>
  <c r="D456" i="1"/>
  <c r="B456" i="1"/>
  <c r="A456" i="1"/>
  <c r="U1382" i="1"/>
  <c r="R1382" i="1"/>
  <c r="Q1382" i="1"/>
  <c r="P1382" i="1"/>
  <c r="O1382" i="1"/>
  <c r="N1382" i="1"/>
  <c r="M1382" i="1"/>
  <c r="I1382" i="1"/>
  <c r="H1382" i="1"/>
  <c r="F1382" i="1"/>
  <c r="D1382" i="1"/>
  <c r="B1382" i="1"/>
  <c r="A1382" i="1"/>
  <c r="U1588" i="1"/>
  <c r="R1588" i="1"/>
  <c r="Q1588" i="1"/>
  <c r="P1588" i="1"/>
  <c r="O1588" i="1"/>
  <c r="N1588" i="1"/>
  <c r="M1588" i="1"/>
  <c r="I1588" i="1"/>
  <c r="H1588" i="1"/>
  <c r="F1588" i="1"/>
  <c r="D1588" i="1"/>
  <c r="B1588" i="1"/>
  <c r="A1588" i="1"/>
  <c r="U1658" i="1"/>
  <c r="R1658" i="1"/>
  <c r="Q1658" i="1"/>
  <c r="P1658" i="1"/>
  <c r="O1658" i="1"/>
  <c r="N1658" i="1"/>
  <c r="M1658" i="1"/>
  <c r="K1658" i="1"/>
  <c r="J1658" i="1"/>
  <c r="I1658" i="1"/>
  <c r="H1658" i="1"/>
  <c r="G1658" i="1"/>
  <c r="F1658" i="1"/>
  <c r="D1658" i="1"/>
  <c r="B1658" i="1"/>
  <c r="A1658" i="1"/>
  <c r="U1749" i="1"/>
  <c r="R1749" i="1"/>
  <c r="Q1749" i="1"/>
  <c r="P1749" i="1"/>
  <c r="O1749" i="1"/>
  <c r="N1749" i="1"/>
  <c r="M1749" i="1"/>
  <c r="I1749" i="1"/>
  <c r="H1749" i="1"/>
  <c r="F1749" i="1"/>
  <c r="D1749" i="1"/>
  <c r="A1749" i="1"/>
  <c r="U1769" i="1"/>
  <c r="R1769" i="1"/>
  <c r="Q1769" i="1"/>
  <c r="P1769" i="1"/>
  <c r="O1769" i="1"/>
  <c r="N1769" i="1"/>
  <c r="M1769" i="1"/>
  <c r="K1769" i="1"/>
  <c r="J1769" i="1"/>
  <c r="I1769" i="1"/>
  <c r="H1769" i="1"/>
  <c r="F1769" i="1"/>
  <c r="D1769" i="1"/>
  <c r="B1769" i="1"/>
  <c r="A1769" i="1"/>
  <c r="U1856" i="1"/>
  <c r="R1856" i="1"/>
  <c r="Q1856" i="1"/>
  <c r="P1856" i="1"/>
  <c r="O1856" i="1"/>
  <c r="N1856" i="1"/>
  <c r="M1856" i="1"/>
  <c r="K1856" i="1"/>
  <c r="J1856" i="1"/>
  <c r="I1856" i="1"/>
  <c r="H1856" i="1"/>
  <c r="F1856" i="1"/>
  <c r="D1856" i="1"/>
  <c r="A1856" i="1"/>
  <c r="U1930" i="1"/>
  <c r="R1930" i="1"/>
  <c r="Q1930" i="1"/>
  <c r="P1930" i="1"/>
  <c r="O1930" i="1"/>
  <c r="N1930" i="1"/>
  <c r="M1930" i="1"/>
  <c r="K1930" i="1"/>
  <c r="J1930" i="1"/>
  <c r="I1930" i="1"/>
  <c r="H1930" i="1"/>
  <c r="F1930" i="1"/>
  <c r="D1930" i="1"/>
  <c r="B1930" i="1"/>
  <c r="A1930" i="1"/>
  <c r="U2398" i="1"/>
  <c r="R2398" i="1"/>
  <c r="Q2398" i="1"/>
  <c r="P2398" i="1"/>
  <c r="O2398" i="1"/>
  <c r="N2398" i="1"/>
  <c r="M2398" i="1"/>
  <c r="K2398" i="1"/>
  <c r="J2398" i="1"/>
  <c r="I2398" i="1"/>
  <c r="H2398" i="1"/>
  <c r="F2398" i="1"/>
  <c r="E2398" i="1"/>
  <c r="D2398" i="1"/>
  <c r="B2398" i="1"/>
  <c r="A2398" i="1"/>
  <c r="U1929" i="1"/>
  <c r="R1929" i="1"/>
  <c r="Q1929" i="1"/>
  <c r="P1929" i="1"/>
  <c r="O1929" i="1"/>
  <c r="N1929" i="1"/>
  <c r="M1929" i="1"/>
  <c r="K1929" i="1"/>
  <c r="J1929" i="1"/>
  <c r="I1929" i="1"/>
  <c r="H1929" i="1"/>
  <c r="F1929" i="1"/>
  <c r="D1929" i="1"/>
  <c r="B1929" i="1"/>
  <c r="A1929" i="1"/>
  <c r="U1928" i="1"/>
  <c r="R1928" i="1"/>
  <c r="Q1928" i="1"/>
  <c r="P1928" i="1"/>
  <c r="O1928" i="1"/>
  <c r="N1928" i="1"/>
  <c r="M1928" i="1"/>
  <c r="K1928" i="1"/>
  <c r="J1928" i="1"/>
  <c r="I1928" i="1"/>
  <c r="H1928" i="1"/>
  <c r="F1928" i="1"/>
  <c r="E1928" i="1"/>
  <c r="D1928" i="1"/>
  <c r="B1928" i="1"/>
  <c r="A1928" i="1"/>
  <c r="U1927" i="1"/>
  <c r="R1927" i="1"/>
  <c r="Q1927" i="1"/>
  <c r="P1927" i="1"/>
  <c r="O1927" i="1"/>
  <c r="N1927" i="1"/>
  <c r="M1927" i="1"/>
  <c r="J1927" i="1"/>
  <c r="I1927" i="1"/>
  <c r="H1927" i="1"/>
  <c r="F1927" i="1"/>
  <c r="E1927" i="1"/>
  <c r="D1927" i="1"/>
  <c r="B1927" i="1"/>
  <c r="A1927" i="1"/>
  <c r="U2491" i="1"/>
  <c r="R2491" i="1"/>
  <c r="Q2491" i="1"/>
  <c r="P2491" i="1"/>
  <c r="O2491" i="1"/>
  <c r="N2491" i="1"/>
  <c r="M2491" i="1"/>
  <c r="K2491" i="1"/>
  <c r="J2491" i="1"/>
  <c r="I2491" i="1"/>
  <c r="H2491" i="1"/>
  <c r="F2491" i="1"/>
  <c r="D2491" i="1"/>
  <c r="B2491" i="1"/>
  <c r="A2491" i="1"/>
  <c r="U1926" i="1"/>
  <c r="R1926" i="1"/>
  <c r="Q1926" i="1"/>
  <c r="P1926" i="1"/>
  <c r="O1926" i="1"/>
  <c r="N1926" i="1"/>
  <c r="M1926" i="1"/>
  <c r="K1926" i="1"/>
  <c r="J1926" i="1"/>
  <c r="I1926" i="1"/>
  <c r="H1926" i="1"/>
  <c r="F1926" i="1"/>
  <c r="D1926" i="1"/>
  <c r="B1926" i="1"/>
  <c r="A1926" i="1"/>
  <c r="U24" i="1"/>
  <c r="R24" i="1"/>
  <c r="Q24" i="1"/>
  <c r="P24" i="1"/>
  <c r="O24" i="1"/>
  <c r="N24" i="1"/>
  <c r="M24" i="1"/>
  <c r="J24" i="1"/>
  <c r="I24" i="1"/>
  <c r="H24" i="1"/>
  <c r="F24" i="1"/>
  <c r="D24" i="1"/>
  <c r="B24" i="1"/>
  <c r="A24" i="1"/>
  <c r="U49" i="1"/>
  <c r="R49" i="1"/>
  <c r="Q49" i="1"/>
  <c r="P49" i="1"/>
  <c r="O49" i="1"/>
  <c r="N49" i="1"/>
  <c r="M49" i="1"/>
  <c r="I49" i="1"/>
  <c r="H49" i="1"/>
  <c r="F49" i="1"/>
  <c r="D49" i="1"/>
  <c r="B49" i="1"/>
  <c r="A49" i="1"/>
  <c r="U38" i="1"/>
  <c r="R38" i="1"/>
  <c r="Q38" i="1"/>
  <c r="P38" i="1"/>
  <c r="O38" i="1"/>
  <c r="N38" i="1"/>
  <c r="M38" i="1"/>
  <c r="J38" i="1"/>
  <c r="I38" i="1"/>
  <c r="H38" i="1"/>
  <c r="F38" i="1"/>
  <c r="D38" i="1"/>
  <c r="B38" i="1"/>
  <c r="A38" i="1"/>
  <c r="U130" i="1"/>
  <c r="R130" i="1"/>
  <c r="Q130" i="1"/>
  <c r="P130" i="1"/>
  <c r="O130" i="1"/>
  <c r="N130" i="1"/>
  <c r="M130" i="1"/>
  <c r="J130" i="1"/>
  <c r="I130" i="1"/>
  <c r="H130" i="1"/>
  <c r="F130" i="1"/>
  <c r="D130" i="1"/>
  <c r="B130" i="1"/>
  <c r="A130" i="1"/>
  <c r="U54" i="1"/>
  <c r="R54" i="1"/>
  <c r="Q54" i="1"/>
  <c r="P54" i="1"/>
  <c r="O54" i="1"/>
  <c r="N54" i="1"/>
  <c r="M54" i="1"/>
  <c r="J54" i="1"/>
  <c r="I54" i="1"/>
  <c r="H54" i="1"/>
  <c r="F54" i="1"/>
  <c r="D54" i="1"/>
  <c r="B54" i="1"/>
  <c r="A54" i="1"/>
  <c r="U135" i="1"/>
  <c r="R135" i="1"/>
  <c r="Q135" i="1"/>
  <c r="P135" i="1"/>
  <c r="O135" i="1"/>
  <c r="N135" i="1"/>
  <c r="M135" i="1"/>
  <c r="J135" i="1"/>
  <c r="I135" i="1"/>
  <c r="H135" i="1"/>
  <c r="F135" i="1"/>
  <c r="D135" i="1"/>
  <c r="B135" i="1"/>
  <c r="A135" i="1"/>
  <c r="U190" i="1"/>
  <c r="R190" i="1"/>
  <c r="Q190" i="1"/>
  <c r="P190" i="1"/>
  <c r="O190" i="1"/>
  <c r="N190" i="1"/>
  <c r="M190" i="1"/>
  <c r="J190" i="1"/>
  <c r="I190" i="1"/>
  <c r="H190" i="1"/>
  <c r="F190" i="1"/>
  <c r="D190" i="1"/>
  <c r="B190" i="1"/>
  <c r="A190" i="1"/>
  <c r="U236" i="1"/>
  <c r="R236" i="1"/>
  <c r="Q236" i="1"/>
  <c r="P236" i="1"/>
  <c r="O236" i="1"/>
  <c r="N236" i="1"/>
  <c r="M236" i="1"/>
  <c r="J236" i="1"/>
  <c r="I236" i="1"/>
  <c r="H236" i="1"/>
  <c r="F236" i="1"/>
  <c r="D236" i="1"/>
  <c r="B236" i="1"/>
  <c r="A236" i="1"/>
  <c r="U285" i="1"/>
  <c r="R285" i="1"/>
  <c r="Q285" i="1"/>
  <c r="P285" i="1"/>
  <c r="O285" i="1"/>
  <c r="N285" i="1"/>
  <c r="M285" i="1"/>
  <c r="J285" i="1"/>
  <c r="I285" i="1"/>
  <c r="H285" i="1"/>
  <c r="F285" i="1"/>
  <c r="D285" i="1"/>
  <c r="B285" i="1"/>
  <c r="A285" i="1"/>
  <c r="U273" i="1"/>
  <c r="R273" i="1"/>
  <c r="Q273" i="1"/>
  <c r="P273" i="1"/>
  <c r="O273" i="1"/>
  <c r="N273" i="1"/>
  <c r="M273" i="1"/>
  <c r="J273" i="1"/>
  <c r="I273" i="1"/>
  <c r="H273" i="1"/>
  <c r="F273" i="1"/>
  <c r="D273" i="1"/>
  <c r="B273" i="1"/>
  <c r="A273" i="1"/>
  <c r="U353" i="1"/>
  <c r="R353" i="1"/>
  <c r="Q353" i="1"/>
  <c r="P353" i="1"/>
  <c r="O353" i="1"/>
  <c r="N353" i="1"/>
  <c r="M353" i="1"/>
  <c r="J353" i="1"/>
  <c r="I353" i="1"/>
  <c r="H353" i="1"/>
  <c r="F353" i="1"/>
  <c r="D353" i="1"/>
  <c r="B353" i="1"/>
  <c r="A353" i="1"/>
  <c r="U323" i="1"/>
  <c r="R323" i="1"/>
  <c r="Q323" i="1"/>
  <c r="P323" i="1"/>
  <c r="O323" i="1"/>
  <c r="N323" i="1"/>
  <c r="M323" i="1"/>
  <c r="J323" i="1"/>
  <c r="I323" i="1"/>
  <c r="H323" i="1"/>
  <c r="F323" i="1"/>
  <c r="D323" i="1"/>
  <c r="B323" i="1"/>
  <c r="A323" i="1"/>
  <c r="U417" i="1"/>
  <c r="R417" i="1"/>
  <c r="Q417" i="1"/>
  <c r="P417" i="1"/>
  <c r="O417" i="1"/>
  <c r="N417" i="1"/>
  <c r="M417" i="1"/>
  <c r="J417" i="1"/>
  <c r="I417" i="1"/>
  <c r="H417" i="1"/>
  <c r="F417" i="1"/>
  <c r="D417" i="1"/>
  <c r="B417" i="1"/>
  <c r="A417" i="1"/>
  <c r="U455" i="1"/>
  <c r="R455" i="1"/>
  <c r="Q455" i="1"/>
  <c r="P455" i="1"/>
  <c r="O455" i="1"/>
  <c r="N455" i="1"/>
  <c r="M455" i="1"/>
  <c r="I455" i="1"/>
  <c r="H455" i="1"/>
  <c r="F455" i="1"/>
  <c r="D455" i="1"/>
  <c r="B455" i="1"/>
  <c r="A455" i="1"/>
  <c r="U646" i="1"/>
  <c r="R646" i="1"/>
  <c r="Q646" i="1"/>
  <c r="P646" i="1"/>
  <c r="O646" i="1"/>
  <c r="N646" i="1"/>
  <c r="M646" i="1"/>
  <c r="I646" i="1"/>
  <c r="H646" i="1"/>
  <c r="F646" i="1"/>
  <c r="D646" i="1"/>
  <c r="B646" i="1"/>
  <c r="A646" i="1"/>
  <c r="U597" i="1"/>
  <c r="R597" i="1"/>
  <c r="Q597" i="1"/>
  <c r="P597" i="1"/>
  <c r="O597" i="1"/>
  <c r="N597" i="1"/>
  <c r="M597" i="1"/>
  <c r="J597" i="1"/>
  <c r="I597" i="1"/>
  <c r="H597" i="1"/>
  <c r="G597" i="1"/>
  <c r="F597" i="1"/>
  <c r="D597" i="1"/>
  <c r="B597" i="1"/>
  <c r="A597" i="1"/>
  <c r="U551" i="1"/>
  <c r="R551" i="1"/>
  <c r="Q551" i="1"/>
  <c r="P551" i="1"/>
  <c r="O551" i="1"/>
  <c r="N551" i="1"/>
  <c r="M551" i="1"/>
  <c r="J551" i="1"/>
  <c r="I551" i="1"/>
  <c r="H551" i="1"/>
  <c r="F551" i="1"/>
  <c r="D551" i="1"/>
  <c r="B551" i="1"/>
  <c r="A551" i="1"/>
  <c r="U770" i="1"/>
  <c r="R770" i="1"/>
  <c r="Q770" i="1"/>
  <c r="P770" i="1"/>
  <c r="O770" i="1"/>
  <c r="N770" i="1"/>
  <c r="M770" i="1"/>
  <c r="J770" i="1"/>
  <c r="I770" i="1"/>
  <c r="H770" i="1"/>
  <c r="F770" i="1"/>
  <c r="D770" i="1"/>
  <c r="B770" i="1"/>
  <c r="A770" i="1"/>
  <c r="U809" i="1"/>
  <c r="R809" i="1"/>
  <c r="Q809" i="1"/>
  <c r="P809" i="1"/>
  <c r="O809" i="1"/>
  <c r="N809" i="1"/>
  <c r="M809" i="1"/>
  <c r="I809" i="1"/>
  <c r="H809" i="1"/>
  <c r="F809" i="1"/>
  <c r="D809" i="1"/>
  <c r="B809" i="1"/>
  <c r="A809" i="1"/>
  <c r="U819" i="1"/>
  <c r="R819" i="1"/>
  <c r="Q819" i="1"/>
  <c r="P819" i="1"/>
  <c r="O819" i="1"/>
  <c r="N819" i="1"/>
  <c r="M819" i="1"/>
  <c r="J819" i="1"/>
  <c r="I819" i="1"/>
  <c r="H819" i="1"/>
  <c r="F819" i="1"/>
  <c r="D819" i="1"/>
  <c r="B819" i="1"/>
  <c r="A819" i="1"/>
  <c r="U721" i="1"/>
  <c r="R721" i="1"/>
  <c r="Q721" i="1"/>
  <c r="P721" i="1"/>
  <c r="O721" i="1"/>
  <c r="N721" i="1"/>
  <c r="M721" i="1"/>
  <c r="J721" i="1"/>
  <c r="I721" i="1"/>
  <c r="H721" i="1"/>
  <c r="F721" i="1"/>
  <c r="D721" i="1"/>
  <c r="B721" i="1"/>
  <c r="A721" i="1"/>
  <c r="U785" i="1"/>
  <c r="R785" i="1"/>
  <c r="Q785" i="1"/>
  <c r="P785" i="1"/>
  <c r="O785" i="1"/>
  <c r="N785" i="1"/>
  <c r="M785" i="1"/>
  <c r="J785" i="1"/>
  <c r="I785" i="1"/>
  <c r="H785" i="1"/>
  <c r="F785" i="1"/>
  <c r="D785" i="1"/>
  <c r="B785" i="1"/>
  <c r="A785" i="1"/>
  <c r="U694" i="1"/>
  <c r="R694" i="1"/>
  <c r="Q694" i="1"/>
  <c r="P694" i="1"/>
  <c r="O694" i="1"/>
  <c r="N694" i="1"/>
  <c r="M694" i="1"/>
  <c r="J694" i="1"/>
  <c r="I694" i="1"/>
  <c r="H694" i="1"/>
  <c r="G694" i="1"/>
  <c r="F694" i="1"/>
  <c r="D694" i="1"/>
  <c r="B694" i="1"/>
  <c r="A694" i="1"/>
  <c r="U739" i="1"/>
  <c r="R739" i="1"/>
  <c r="Q739" i="1"/>
  <c r="P739" i="1"/>
  <c r="O739" i="1"/>
  <c r="N739" i="1"/>
  <c r="M739" i="1"/>
  <c r="J739" i="1"/>
  <c r="I739" i="1"/>
  <c r="H739" i="1"/>
  <c r="G739" i="1"/>
  <c r="F739" i="1"/>
  <c r="D739" i="1"/>
  <c r="B739" i="1"/>
  <c r="A739" i="1"/>
  <c r="U616" i="1"/>
  <c r="R616" i="1"/>
  <c r="Q616" i="1"/>
  <c r="P616" i="1"/>
  <c r="O616" i="1"/>
  <c r="N616" i="1"/>
  <c r="M616" i="1"/>
  <c r="J616" i="1"/>
  <c r="I616" i="1"/>
  <c r="H616" i="1"/>
  <c r="F616" i="1"/>
  <c r="D616" i="1"/>
  <c r="B616" i="1"/>
  <c r="A616" i="1"/>
  <c r="U999" i="1"/>
  <c r="R999" i="1"/>
  <c r="Q999" i="1"/>
  <c r="P999" i="1"/>
  <c r="O999" i="1"/>
  <c r="N999" i="1"/>
  <c r="M999" i="1"/>
  <c r="J999" i="1"/>
  <c r="I999" i="1"/>
  <c r="H999" i="1"/>
  <c r="F999" i="1"/>
  <c r="D999" i="1"/>
  <c r="B999" i="1"/>
  <c r="A999" i="1"/>
  <c r="U1006" i="1"/>
  <c r="R1006" i="1"/>
  <c r="Q1006" i="1"/>
  <c r="P1006" i="1"/>
  <c r="O1006" i="1"/>
  <c r="N1006" i="1"/>
  <c r="M1006" i="1"/>
  <c r="J1006" i="1"/>
  <c r="I1006" i="1"/>
  <c r="H1006" i="1"/>
  <c r="G1006" i="1"/>
  <c r="F1006" i="1"/>
  <c r="D1006" i="1"/>
  <c r="B1006" i="1"/>
  <c r="A1006" i="1"/>
  <c r="U1005" i="1"/>
  <c r="R1005" i="1"/>
  <c r="Q1005" i="1"/>
  <c r="P1005" i="1"/>
  <c r="O1005" i="1"/>
  <c r="N1005" i="1"/>
  <c r="M1005" i="1"/>
  <c r="J1005" i="1"/>
  <c r="I1005" i="1"/>
  <c r="H1005" i="1"/>
  <c r="F1005" i="1"/>
  <c r="D1005" i="1"/>
  <c r="B1005" i="1"/>
  <c r="A1005" i="1"/>
  <c r="U1048" i="1"/>
  <c r="R1048" i="1"/>
  <c r="Q1048" i="1"/>
  <c r="P1048" i="1"/>
  <c r="O1048" i="1"/>
  <c r="N1048" i="1"/>
  <c r="M1048" i="1"/>
  <c r="I1048" i="1"/>
  <c r="H1048" i="1"/>
  <c r="F1048" i="1"/>
  <c r="D1048" i="1"/>
  <c r="A1048" i="1"/>
  <c r="U1047" i="1"/>
  <c r="R1047" i="1"/>
  <c r="Q1047" i="1"/>
  <c r="P1047" i="1"/>
  <c r="O1047" i="1"/>
  <c r="N1047" i="1"/>
  <c r="M1047" i="1"/>
  <c r="I1047" i="1"/>
  <c r="H1047" i="1"/>
  <c r="F1047" i="1"/>
  <c r="D1047" i="1"/>
  <c r="A1047" i="1"/>
  <c r="U1056" i="1"/>
  <c r="R1056" i="1"/>
  <c r="Q1056" i="1"/>
  <c r="P1056" i="1"/>
  <c r="O1056" i="1"/>
  <c r="N1056" i="1"/>
  <c r="M1056" i="1"/>
  <c r="I1056" i="1"/>
  <c r="H1056" i="1"/>
  <c r="F1056" i="1"/>
  <c r="E1056" i="1"/>
  <c r="D1056" i="1"/>
  <c r="B1056" i="1"/>
  <c r="A1056" i="1"/>
  <c r="U1094" i="1"/>
  <c r="R1094" i="1"/>
  <c r="Q1094" i="1"/>
  <c r="P1094" i="1"/>
  <c r="O1094" i="1"/>
  <c r="N1094" i="1"/>
  <c r="M1094" i="1"/>
  <c r="I1094" i="1"/>
  <c r="H1094" i="1"/>
  <c r="F1094" i="1"/>
  <c r="E1094" i="1"/>
  <c r="D1094" i="1"/>
  <c r="A1094" i="1"/>
  <c r="U1074" i="1"/>
  <c r="R1074" i="1"/>
  <c r="Q1074" i="1"/>
  <c r="P1074" i="1"/>
  <c r="O1074" i="1"/>
  <c r="N1074" i="1"/>
  <c r="M1074" i="1"/>
  <c r="J1074" i="1"/>
  <c r="I1074" i="1"/>
  <c r="H1074" i="1"/>
  <c r="F1074" i="1"/>
  <c r="D1074" i="1"/>
  <c r="B1074" i="1"/>
  <c r="A1074" i="1"/>
  <c r="U1073" i="1"/>
  <c r="R1073" i="1"/>
  <c r="Q1073" i="1"/>
  <c r="P1073" i="1"/>
  <c r="O1073" i="1"/>
  <c r="N1073" i="1"/>
  <c r="M1073" i="1"/>
  <c r="J1073" i="1"/>
  <c r="I1073" i="1"/>
  <c r="H1073" i="1"/>
  <c r="G1073" i="1"/>
  <c r="F1073" i="1"/>
  <c r="D1073" i="1"/>
  <c r="B1073" i="1"/>
  <c r="A1073" i="1"/>
  <c r="U1072" i="1"/>
  <c r="R1072" i="1"/>
  <c r="Q1072" i="1"/>
  <c r="P1072" i="1"/>
  <c r="O1072" i="1"/>
  <c r="N1072" i="1"/>
  <c r="M1072" i="1"/>
  <c r="I1072" i="1"/>
  <c r="H1072" i="1"/>
  <c r="F1072" i="1"/>
  <c r="D1072" i="1"/>
  <c r="B1072" i="1"/>
  <c r="A1072" i="1"/>
  <c r="U976" i="1"/>
  <c r="R976" i="1"/>
  <c r="Q976" i="1"/>
  <c r="P976" i="1"/>
  <c r="O976" i="1"/>
  <c r="N976" i="1"/>
  <c r="M976" i="1"/>
  <c r="J976" i="1"/>
  <c r="I976" i="1"/>
  <c r="H976" i="1"/>
  <c r="F976" i="1"/>
  <c r="E976" i="1"/>
  <c r="D976" i="1"/>
  <c r="B976" i="1"/>
  <c r="A976" i="1"/>
  <c r="U1202" i="1"/>
  <c r="R1202" i="1"/>
  <c r="Q1202" i="1"/>
  <c r="P1202" i="1"/>
  <c r="O1202" i="1"/>
  <c r="N1202" i="1"/>
  <c r="M1202" i="1"/>
  <c r="I1202" i="1"/>
  <c r="H1202" i="1"/>
  <c r="F1202" i="1"/>
  <c r="D1202" i="1"/>
  <c r="B1202" i="1"/>
  <c r="A1202" i="1"/>
  <c r="U1152" i="1"/>
  <c r="R1152" i="1"/>
  <c r="Q1152" i="1"/>
  <c r="P1152" i="1"/>
  <c r="O1152" i="1"/>
  <c r="N1152" i="1"/>
  <c r="M1152" i="1"/>
  <c r="I1152" i="1"/>
  <c r="H1152" i="1"/>
  <c r="F1152" i="1"/>
  <c r="D1152" i="1"/>
  <c r="B1152" i="1"/>
  <c r="A1152" i="1"/>
  <c r="U1241" i="1"/>
  <c r="R1241" i="1"/>
  <c r="Q1241" i="1"/>
  <c r="P1241" i="1"/>
  <c r="O1241" i="1"/>
  <c r="N1241" i="1"/>
  <c r="M1241" i="1"/>
  <c r="I1241" i="1"/>
  <c r="H1241" i="1"/>
  <c r="F1241" i="1"/>
  <c r="D1241" i="1"/>
  <c r="B1241" i="1"/>
  <c r="A1241" i="1"/>
  <c r="U1062" i="1"/>
  <c r="R1062" i="1"/>
  <c r="Q1062" i="1"/>
  <c r="P1062" i="1"/>
  <c r="O1062" i="1"/>
  <c r="N1062" i="1"/>
  <c r="M1062" i="1"/>
  <c r="J1062" i="1"/>
  <c r="I1062" i="1"/>
  <c r="H1062" i="1"/>
  <c r="F1062" i="1"/>
  <c r="D1062" i="1"/>
  <c r="B1062" i="1"/>
  <c r="A1062" i="1"/>
  <c r="U1044" i="1"/>
  <c r="R1044" i="1"/>
  <c r="Q1044" i="1"/>
  <c r="P1044" i="1"/>
  <c r="O1044" i="1"/>
  <c r="N1044" i="1"/>
  <c r="M1044" i="1"/>
  <c r="J1044" i="1"/>
  <c r="I1044" i="1"/>
  <c r="H1044" i="1"/>
  <c r="F1044" i="1"/>
  <c r="D1044" i="1"/>
  <c r="B1044" i="1"/>
  <c r="A1044" i="1"/>
  <c r="U1211" i="1"/>
  <c r="R1211" i="1"/>
  <c r="Q1211" i="1"/>
  <c r="P1211" i="1"/>
  <c r="O1211" i="1"/>
  <c r="N1211" i="1"/>
  <c r="M1211" i="1"/>
  <c r="I1211" i="1"/>
  <c r="H1211" i="1"/>
  <c r="F1211" i="1"/>
  <c r="D1211" i="1"/>
  <c r="B1211" i="1"/>
  <c r="A1211" i="1"/>
  <c r="U1220" i="1"/>
  <c r="R1220" i="1"/>
  <c r="Q1220" i="1"/>
  <c r="P1220" i="1"/>
  <c r="O1220" i="1"/>
  <c r="N1220" i="1"/>
  <c r="M1220" i="1"/>
  <c r="J1220" i="1"/>
  <c r="I1220" i="1"/>
  <c r="H1220" i="1"/>
  <c r="F1220" i="1"/>
  <c r="D1220" i="1"/>
  <c r="B1220" i="1"/>
  <c r="A1220" i="1"/>
  <c r="U1176" i="1"/>
  <c r="R1176" i="1"/>
  <c r="Q1176" i="1"/>
  <c r="P1176" i="1"/>
  <c r="O1176" i="1"/>
  <c r="N1176" i="1"/>
  <c r="M1176" i="1"/>
  <c r="I1176" i="1"/>
  <c r="H1176" i="1"/>
  <c r="F1176" i="1"/>
  <c r="E1176" i="1"/>
  <c r="D1176" i="1"/>
  <c r="A1176" i="1"/>
  <c r="U1252" i="1"/>
  <c r="R1252" i="1"/>
  <c r="Q1252" i="1"/>
  <c r="P1252" i="1"/>
  <c r="O1252" i="1"/>
  <c r="N1252" i="1"/>
  <c r="M1252" i="1"/>
  <c r="I1252" i="1"/>
  <c r="H1252" i="1"/>
  <c r="F1252" i="1"/>
  <c r="D1252" i="1"/>
  <c r="A1252" i="1"/>
  <c r="U1240" i="1"/>
  <c r="R1240" i="1"/>
  <c r="Q1240" i="1"/>
  <c r="P1240" i="1"/>
  <c r="O1240" i="1"/>
  <c r="N1240" i="1"/>
  <c r="M1240" i="1"/>
  <c r="I1240" i="1"/>
  <c r="H1240" i="1"/>
  <c r="F1240" i="1"/>
  <c r="D1240" i="1"/>
  <c r="B1240" i="1"/>
  <c r="A1240" i="1"/>
  <c r="U1279" i="1"/>
  <c r="R1279" i="1"/>
  <c r="Q1279" i="1"/>
  <c r="P1279" i="1"/>
  <c r="O1279" i="1"/>
  <c r="N1279" i="1"/>
  <c r="M1279" i="1"/>
  <c r="J1279" i="1"/>
  <c r="I1279" i="1"/>
  <c r="H1279" i="1"/>
  <c r="F1279" i="1"/>
  <c r="E1279" i="1"/>
  <c r="D1279" i="1"/>
  <c r="B1279" i="1"/>
  <c r="A1279" i="1"/>
  <c r="U1307" i="1"/>
  <c r="R1307" i="1"/>
  <c r="Q1307" i="1"/>
  <c r="P1307" i="1"/>
  <c r="O1307" i="1"/>
  <c r="N1307" i="1"/>
  <c r="M1307" i="1"/>
  <c r="I1307" i="1"/>
  <c r="H1307" i="1"/>
  <c r="F1307" i="1"/>
  <c r="D1307" i="1"/>
  <c r="B1307" i="1"/>
  <c r="A1307" i="1"/>
  <c r="U1361" i="1"/>
  <c r="R1361" i="1"/>
  <c r="Q1361" i="1"/>
  <c r="P1361" i="1"/>
  <c r="O1361" i="1"/>
  <c r="N1361" i="1"/>
  <c r="M1361" i="1"/>
  <c r="I1361" i="1"/>
  <c r="H1361" i="1"/>
  <c r="F1361" i="1"/>
  <c r="D1361" i="1"/>
  <c r="B1361" i="1"/>
  <c r="A1361" i="1"/>
  <c r="U1141" i="1"/>
  <c r="R1141" i="1"/>
  <c r="Q1141" i="1"/>
  <c r="P1141" i="1"/>
  <c r="O1141" i="1"/>
  <c r="N1141" i="1"/>
  <c r="M1141" i="1"/>
  <c r="I1141" i="1"/>
  <c r="H1141" i="1"/>
  <c r="F1141" i="1"/>
  <c r="E1141" i="1"/>
  <c r="D1141" i="1"/>
  <c r="B1141" i="1"/>
  <c r="A1141" i="1"/>
  <c r="U1569" i="1"/>
  <c r="R1569" i="1"/>
  <c r="Q1569" i="1"/>
  <c r="P1569" i="1"/>
  <c r="O1569" i="1"/>
  <c r="N1569" i="1"/>
  <c r="M1569" i="1"/>
  <c r="I1569" i="1"/>
  <c r="H1569" i="1"/>
  <c r="F1569" i="1"/>
  <c r="D1569" i="1"/>
  <c r="A1569" i="1"/>
  <c r="U1808" i="1"/>
  <c r="R1808" i="1"/>
  <c r="Q1808" i="1"/>
  <c r="P1808" i="1"/>
  <c r="O1808" i="1"/>
  <c r="N1808" i="1"/>
  <c r="M1808" i="1"/>
  <c r="K1808" i="1"/>
  <c r="J1808" i="1"/>
  <c r="I1808" i="1"/>
  <c r="H1808" i="1"/>
  <c r="F1808" i="1"/>
  <c r="D1808" i="1"/>
  <c r="B1808" i="1"/>
  <c r="A1808" i="1"/>
  <c r="U1895" i="1"/>
  <c r="R1895" i="1"/>
  <c r="Q1895" i="1"/>
  <c r="P1895" i="1"/>
  <c r="O1895" i="1"/>
  <c r="N1895" i="1"/>
  <c r="M1895" i="1"/>
  <c r="J1895" i="1"/>
  <c r="I1895" i="1"/>
  <c r="H1895" i="1"/>
  <c r="F1895" i="1"/>
  <c r="E1895" i="1"/>
  <c r="D1895" i="1"/>
  <c r="B1895" i="1"/>
  <c r="A1895" i="1"/>
  <c r="U2342" i="1"/>
  <c r="R2342" i="1"/>
  <c r="Q2342" i="1"/>
  <c r="P2342" i="1"/>
  <c r="O2342" i="1"/>
  <c r="N2342" i="1"/>
  <c r="M2342" i="1"/>
  <c r="K2342" i="1"/>
  <c r="J2342" i="1"/>
  <c r="I2342" i="1"/>
  <c r="H2342" i="1"/>
  <c r="F2342" i="1"/>
  <c r="D2342" i="1"/>
  <c r="B2342" i="1"/>
  <c r="A2342" i="1"/>
  <c r="U2346" i="1"/>
  <c r="R2346" i="1"/>
  <c r="Q2346" i="1"/>
  <c r="P2346" i="1"/>
  <c r="O2346" i="1"/>
  <c r="N2346" i="1"/>
  <c r="M2346" i="1"/>
  <c r="K2346" i="1"/>
  <c r="J2346" i="1"/>
  <c r="I2346" i="1"/>
  <c r="H2346" i="1"/>
  <c r="F2346" i="1"/>
  <c r="D2346" i="1"/>
  <c r="B2346" i="1"/>
  <c r="A2346" i="1"/>
  <c r="U2445" i="1"/>
  <c r="R2445" i="1"/>
  <c r="Q2445" i="1"/>
  <c r="P2445" i="1"/>
  <c r="O2445" i="1"/>
  <c r="N2445" i="1"/>
  <c r="M2445" i="1"/>
  <c r="J2445" i="1"/>
  <c r="I2445" i="1"/>
  <c r="H2445" i="1"/>
  <c r="F2445" i="1"/>
  <c r="D2445" i="1"/>
  <c r="B2445" i="1"/>
  <c r="A2445" i="1"/>
  <c r="U2443" i="1"/>
  <c r="R2443" i="1"/>
  <c r="Q2443" i="1"/>
  <c r="P2443" i="1"/>
  <c r="O2443" i="1"/>
  <c r="N2443" i="1"/>
  <c r="M2443" i="1"/>
  <c r="J2443" i="1"/>
  <c r="I2443" i="1"/>
  <c r="H2443" i="1"/>
  <c r="F2443" i="1"/>
  <c r="D2443" i="1"/>
  <c r="B2443" i="1"/>
  <c r="A2443" i="1"/>
  <c r="U2495" i="1"/>
  <c r="R2495" i="1"/>
  <c r="Q2495" i="1"/>
  <c r="P2495" i="1"/>
  <c r="O2495" i="1"/>
  <c r="N2495" i="1"/>
  <c r="M2495" i="1"/>
  <c r="J2495" i="1"/>
  <c r="I2495" i="1"/>
  <c r="H2495" i="1"/>
  <c r="F2495" i="1"/>
  <c r="E2495" i="1"/>
  <c r="D2495" i="1"/>
  <c r="B2495" i="1"/>
  <c r="A2495" i="1"/>
  <c r="U2554" i="1"/>
  <c r="R2554" i="1"/>
  <c r="Q2554" i="1"/>
  <c r="P2554" i="1"/>
  <c r="O2554" i="1"/>
  <c r="N2554" i="1"/>
  <c r="M2554" i="1"/>
  <c r="J2554" i="1"/>
  <c r="I2554" i="1"/>
  <c r="H2554" i="1"/>
  <c r="F2554" i="1"/>
  <c r="D2554" i="1"/>
  <c r="B2554" i="1"/>
  <c r="A2554" i="1"/>
  <c r="U2576" i="1"/>
  <c r="R2576" i="1"/>
  <c r="Q2576" i="1"/>
  <c r="P2576" i="1"/>
  <c r="O2576" i="1"/>
  <c r="N2576" i="1"/>
  <c r="M2576" i="1"/>
  <c r="J2576" i="1"/>
  <c r="I2576" i="1"/>
  <c r="H2576" i="1"/>
  <c r="F2576" i="1"/>
  <c r="D2576" i="1"/>
  <c r="B2576" i="1"/>
  <c r="A2576" i="1"/>
  <c r="U2594" i="1"/>
  <c r="R2594" i="1"/>
  <c r="Q2594" i="1"/>
  <c r="P2594" i="1"/>
  <c r="O2594" i="1"/>
  <c r="N2594" i="1"/>
  <c r="M2594" i="1"/>
  <c r="J2594" i="1"/>
  <c r="I2594" i="1"/>
  <c r="H2594" i="1"/>
  <c r="F2594" i="1"/>
  <c r="D2594" i="1"/>
  <c r="B2594" i="1"/>
  <c r="A2594" i="1"/>
  <c r="U2605" i="1"/>
  <c r="R2605" i="1"/>
  <c r="Q2605" i="1"/>
  <c r="P2605" i="1"/>
  <c r="O2605" i="1"/>
  <c r="N2605" i="1"/>
  <c r="M2605" i="1"/>
  <c r="J2605" i="1"/>
  <c r="I2605" i="1"/>
  <c r="H2605" i="1"/>
  <c r="F2605" i="1"/>
  <c r="D2605" i="1"/>
  <c r="B2605" i="1"/>
  <c r="A2605" i="1"/>
  <c r="U2649" i="1"/>
  <c r="R2649" i="1"/>
  <c r="Q2649" i="1"/>
  <c r="P2649" i="1"/>
  <c r="O2649" i="1"/>
  <c r="N2649" i="1"/>
  <c r="M2649" i="1"/>
  <c r="J2649" i="1"/>
  <c r="I2649" i="1"/>
  <c r="H2649" i="1"/>
  <c r="F2649" i="1"/>
  <c r="D2649" i="1"/>
  <c r="B2649" i="1"/>
  <c r="A2649" i="1"/>
  <c r="U2686" i="1"/>
  <c r="R2686" i="1"/>
  <c r="Q2686" i="1"/>
  <c r="P2686" i="1"/>
  <c r="O2686" i="1"/>
  <c r="N2686" i="1"/>
  <c r="M2686" i="1"/>
  <c r="J2686" i="1"/>
  <c r="I2686" i="1"/>
  <c r="H2686" i="1"/>
  <c r="F2686" i="1"/>
  <c r="D2686" i="1"/>
  <c r="B2686" i="1"/>
  <c r="A2686" i="1"/>
  <c r="U2728" i="1"/>
  <c r="R2728" i="1"/>
  <c r="Q2728" i="1"/>
  <c r="P2728" i="1"/>
  <c r="O2728" i="1"/>
  <c r="N2728" i="1"/>
  <c r="M2728" i="1"/>
  <c r="K2728" i="1"/>
  <c r="J2728" i="1"/>
  <c r="I2728" i="1"/>
  <c r="H2728" i="1"/>
  <c r="G2728" i="1"/>
  <c r="F2728" i="1"/>
  <c r="D2728" i="1"/>
  <c r="B2728" i="1"/>
  <c r="A2728" i="1"/>
  <c r="U2296" i="1"/>
  <c r="R2296" i="1"/>
  <c r="Q2296" i="1"/>
  <c r="P2296" i="1"/>
  <c r="O2296" i="1"/>
  <c r="N2296" i="1"/>
  <c r="M2296" i="1"/>
  <c r="K2296" i="1"/>
  <c r="J2296" i="1"/>
  <c r="I2296" i="1"/>
  <c r="H2296" i="1"/>
  <c r="F2296" i="1"/>
  <c r="D2296" i="1"/>
  <c r="B2296" i="1"/>
  <c r="A2296" i="1"/>
  <c r="U2858" i="1"/>
  <c r="R2858" i="1"/>
  <c r="Q2858" i="1"/>
  <c r="P2858" i="1"/>
  <c r="O2858" i="1"/>
  <c r="N2858" i="1"/>
  <c r="M2858" i="1"/>
  <c r="J2858" i="1"/>
  <c r="I2858" i="1"/>
  <c r="H2858" i="1"/>
  <c r="F2858" i="1"/>
  <c r="D2858" i="1"/>
  <c r="B2858" i="1"/>
  <c r="A2858" i="1"/>
  <c r="U2962" i="1"/>
  <c r="R2962" i="1"/>
  <c r="Q2962" i="1"/>
  <c r="P2962" i="1"/>
  <c r="O2962" i="1"/>
  <c r="N2962" i="1"/>
  <c r="M2962" i="1"/>
  <c r="J2962" i="1"/>
  <c r="I2962" i="1"/>
  <c r="H2962" i="1"/>
  <c r="F2962" i="1"/>
  <c r="D2962" i="1"/>
  <c r="B2962" i="1"/>
  <c r="A2962" i="1"/>
  <c r="U3240" i="1"/>
  <c r="R3240" i="1"/>
  <c r="Q3240" i="1"/>
  <c r="P3240" i="1"/>
  <c r="O3240" i="1"/>
  <c r="N3240" i="1"/>
  <c r="M3240" i="1"/>
  <c r="K3240" i="1"/>
  <c r="J3240" i="1"/>
  <c r="I3240" i="1"/>
  <c r="H3240" i="1"/>
  <c r="G3240" i="1"/>
  <c r="F3240" i="1"/>
  <c r="D3240" i="1"/>
  <c r="B3240" i="1"/>
  <c r="A3240" i="1"/>
  <c r="U2230" i="1"/>
  <c r="R2230" i="1"/>
  <c r="Q2230" i="1"/>
  <c r="P2230" i="1"/>
  <c r="O2230" i="1"/>
  <c r="N2230" i="1"/>
  <c r="M2230" i="1"/>
  <c r="K2230" i="1"/>
  <c r="J2230" i="1"/>
  <c r="I2230" i="1"/>
  <c r="H2230" i="1"/>
  <c r="F2230" i="1"/>
  <c r="D2230" i="1"/>
  <c r="B2230" i="1"/>
  <c r="A2230" i="1"/>
  <c r="U2967" i="1"/>
  <c r="R2967" i="1"/>
  <c r="Q2967" i="1"/>
  <c r="P2967" i="1"/>
  <c r="O2967" i="1"/>
  <c r="N2967" i="1"/>
  <c r="M2967" i="1"/>
  <c r="K2967" i="1"/>
  <c r="J2967" i="1"/>
  <c r="I2967" i="1"/>
  <c r="H2967" i="1"/>
  <c r="F2967" i="1"/>
  <c r="D2967" i="1"/>
  <c r="B2967" i="1"/>
  <c r="A2967" i="1"/>
  <c r="U129" i="1"/>
  <c r="R129" i="1"/>
  <c r="Q129" i="1"/>
  <c r="P129" i="1"/>
  <c r="O129" i="1"/>
  <c r="N129" i="1"/>
  <c r="M129" i="1"/>
  <c r="J129" i="1"/>
  <c r="I129" i="1"/>
  <c r="H129" i="1"/>
  <c r="G129" i="1"/>
  <c r="F129" i="1"/>
  <c r="D129" i="1"/>
  <c r="B129" i="1"/>
  <c r="A129" i="1"/>
  <c r="U184" i="1"/>
  <c r="R184" i="1"/>
  <c r="Q184" i="1"/>
  <c r="P184" i="1"/>
  <c r="O184" i="1"/>
  <c r="N184" i="1"/>
  <c r="M184" i="1"/>
  <c r="J184" i="1"/>
  <c r="I184" i="1"/>
  <c r="H184" i="1"/>
  <c r="F184" i="1"/>
  <c r="D184" i="1"/>
  <c r="B184" i="1"/>
  <c r="A184" i="1"/>
  <c r="U262" i="1"/>
  <c r="R262" i="1"/>
  <c r="Q262" i="1"/>
  <c r="P262" i="1"/>
  <c r="O262" i="1"/>
  <c r="N262" i="1"/>
  <c r="M262" i="1"/>
  <c r="I262" i="1"/>
  <c r="H262" i="1"/>
  <c r="F262" i="1"/>
  <c r="D262" i="1"/>
  <c r="B262" i="1"/>
  <c r="A262" i="1"/>
  <c r="U5" i="1"/>
  <c r="R5" i="1"/>
  <c r="Q5" i="1"/>
  <c r="P5" i="1"/>
  <c r="O5" i="1"/>
  <c r="N5" i="1"/>
  <c r="M5" i="1"/>
  <c r="J5" i="1"/>
  <c r="I5" i="1"/>
  <c r="H5" i="1"/>
  <c r="F5" i="1"/>
  <c r="D5" i="1"/>
  <c r="B5" i="1"/>
  <c r="A5" i="1"/>
  <c r="U450" i="1"/>
  <c r="R450" i="1"/>
  <c r="Q450" i="1"/>
  <c r="P450" i="1"/>
  <c r="O450" i="1"/>
  <c r="N450" i="1"/>
  <c r="M450" i="1"/>
  <c r="J450" i="1"/>
  <c r="I450" i="1"/>
  <c r="H450" i="1"/>
  <c r="F450" i="1"/>
  <c r="D450" i="1"/>
  <c r="B450" i="1"/>
  <c r="A450" i="1"/>
  <c r="U477" i="1"/>
  <c r="R477" i="1"/>
  <c r="Q477" i="1"/>
  <c r="P477" i="1"/>
  <c r="O477" i="1"/>
  <c r="N477" i="1"/>
  <c r="M477" i="1"/>
  <c r="J477" i="1"/>
  <c r="I477" i="1"/>
  <c r="H477" i="1"/>
  <c r="F477" i="1"/>
  <c r="D477" i="1"/>
  <c r="B477" i="1"/>
  <c r="A477" i="1"/>
  <c r="U590" i="1"/>
  <c r="R590" i="1"/>
  <c r="Q590" i="1"/>
  <c r="P590" i="1"/>
  <c r="O590" i="1"/>
  <c r="N590" i="1"/>
  <c r="M590" i="1"/>
  <c r="J590" i="1"/>
  <c r="I590" i="1"/>
  <c r="H590" i="1"/>
  <c r="F590" i="1"/>
  <c r="D590" i="1"/>
  <c r="B590" i="1"/>
  <c r="A590" i="1"/>
  <c r="U686" i="1"/>
  <c r="R686" i="1"/>
  <c r="Q686" i="1"/>
  <c r="P686" i="1"/>
  <c r="O686" i="1"/>
  <c r="N686" i="1"/>
  <c r="M686" i="1"/>
  <c r="I686" i="1"/>
  <c r="H686" i="1"/>
  <c r="F686" i="1"/>
  <c r="D686" i="1"/>
  <c r="B686" i="1"/>
  <c r="A686" i="1"/>
  <c r="U31" i="1"/>
  <c r="R31" i="1"/>
  <c r="Q31" i="1"/>
  <c r="P31" i="1"/>
  <c r="O31" i="1"/>
  <c r="N31" i="1"/>
  <c r="M31" i="1"/>
  <c r="J31" i="1"/>
  <c r="I31" i="1"/>
  <c r="H31" i="1"/>
  <c r="F31" i="1"/>
  <c r="D31" i="1"/>
  <c r="B31" i="1"/>
  <c r="A31" i="1"/>
  <c r="U312" i="1"/>
  <c r="R312" i="1"/>
  <c r="Q312" i="1"/>
  <c r="P312" i="1"/>
  <c r="O312" i="1"/>
  <c r="N312" i="1"/>
  <c r="M312" i="1"/>
  <c r="J312" i="1"/>
  <c r="I312" i="1"/>
  <c r="H312" i="1"/>
  <c r="F312" i="1"/>
  <c r="D312" i="1"/>
  <c r="B312" i="1"/>
  <c r="A312" i="1"/>
  <c r="U901" i="1"/>
  <c r="R901" i="1"/>
  <c r="Q901" i="1"/>
  <c r="P901" i="1"/>
  <c r="O901" i="1"/>
  <c r="N901" i="1"/>
  <c r="M901" i="1"/>
  <c r="J901" i="1"/>
  <c r="I901" i="1"/>
  <c r="H901" i="1"/>
  <c r="F901" i="1"/>
  <c r="E901" i="1"/>
  <c r="D901" i="1"/>
  <c r="B901" i="1"/>
  <c r="A901" i="1"/>
  <c r="U864" i="1"/>
  <c r="R864" i="1"/>
  <c r="Q864" i="1"/>
  <c r="P864" i="1"/>
  <c r="O864" i="1"/>
  <c r="N864" i="1"/>
  <c r="M864" i="1"/>
  <c r="J864" i="1"/>
  <c r="I864" i="1"/>
  <c r="H864" i="1"/>
  <c r="F864" i="1"/>
  <c r="D864" i="1"/>
  <c r="B864" i="1"/>
  <c r="A864" i="1"/>
  <c r="U405" i="1"/>
  <c r="R405" i="1"/>
  <c r="Q405" i="1"/>
  <c r="P405" i="1"/>
  <c r="O405" i="1"/>
  <c r="N405" i="1"/>
  <c r="M405" i="1"/>
  <c r="I405" i="1"/>
  <c r="H405" i="1"/>
  <c r="F405" i="1"/>
  <c r="D405" i="1"/>
  <c r="B405" i="1"/>
  <c r="A405" i="1"/>
  <c r="U991" i="1"/>
  <c r="R991" i="1"/>
  <c r="Q991" i="1"/>
  <c r="P991" i="1"/>
  <c r="O991" i="1"/>
  <c r="N991" i="1"/>
  <c r="M991" i="1"/>
  <c r="J991" i="1"/>
  <c r="I991" i="1"/>
  <c r="H991" i="1"/>
  <c r="F991" i="1"/>
  <c r="D991" i="1"/>
  <c r="B991" i="1"/>
  <c r="A991" i="1"/>
  <c r="U968" i="1"/>
  <c r="R968" i="1"/>
  <c r="Q968" i="1"/>
  <c r="P968" i="1"/>
  <c r="O968" i="1"/>
  <c r="N968" i="1"/>
  <c r="M968" i="1"/>
  <c r="J968" i="1"/>
  <c r="I968" i="1"/>
  <c r="H968" i="1"/>
  <c r="F968" i="1"/>
  <c r="E968" i="1"/>
  <c r="D968" i="1"/>
  <c r="B968" i="1"/>
  <c r="A968" i="1"/>
  <c r="U1035" i="1"/>
  <c r="R1035" i="1"/>
  <c r="Q1035" i="1"/>
  <c r="P1035" i="1"/>
  <c r="O1035" i="1"/>
  <c r="N1035" i="1"/>
  <c r="M1035" i="1"/>
  <c r="I1035" i="1"/>
  <c r="H1035" i="1"/>
  <c r="F1035" i="1"/>
  <c r="D1035" i="1"/>
  <c r="B1035" i="1"/>
  <c r="A1035" i="1"/>
  <c r="U816" i="1"/>
  <c r="R816" i="1"/>
  <c r="Q816" i="1"/>
  <c r="P816" i="1"/>
  <c r="O816" i="1"/>
  <c r="N816" i="1"/>
  <c r="M816" i="1"/>
  <c r="J816" i="1"/>
  <c r="I816" i="1"/>
  <c r="H816" i="1"/>
  <c r="F816" i="1"/>
  <c r="D816" i="1"/>
  <c r="B816" i="1"/>
  <c r="A816" i="1"/>
  <c r="U960" i="1"/>
  <c r="R960" i="1"/>
  <c r="Q960" i="1"/>
  <c r="P960" i="1"/>
  <c r="O960" i="1"/>
  <c r="N960" i="1"/>
  <c r="M960" i="1"/>
  <c r="J960" i="1"/>
  <c r="I960" i="1"/>
  <c r="H960" i="1"/>
  <c r="F960" i="1"/>
  <c r="D960" i="1"/>
  <c r="B960" i="1"/>
  <c r="A960" i="1"/>
  <c r="U1071" i="1"/>
  <c r="R1071" i="1"/>
  <c r="Q1071" i="1"/>
  <c r="P1071" i="1"/>
  <c r="O1071" i="1"/>
  <c r="N1071" i="1"/>
  <c r="M1071" i="1"/>
  <c r="J1071" i="1"/>
  <c r="I1071" i="1"/>
  <c r="H1071" i="1"/>
  <c r="F1071" i="1"/>
  <c r="D1071" i="1"/>
  <c r="B1071" i="1"/>
  <c r="A1071" i="1"/>
  <c r="U1143" i="1"/>
  <c r="R1143" i="1"/>
  <c r="Q1143" i="1"/>
  <c r="P1143" i="1"/>
  <c r="O1143" i="1"/>
  <c r="N1143" i="1"/>
  <c r="M1143" i="1"/>
  <c r="J1143" i="1"/>
  <c r="I1143" i="1"/>
  <c r="H1143" i="1"/>
  <c r="F1143" i="1"/>
  <c r="D1143" i="1"/>
  <c r="B1143" i="1"/>
  <c r="A1143" i="1"/>
  <c r="U1144" i="1"/>
  <c r="R1144" i="1"/>
  <c r="Q1144" i="1"/>
  <c r="P1144" i="1"/>
  <c r="O1144" i="1"/>
  <c r="N1144" i="1"/>
  <c r="M1144" i="1"/>
  <c r="J1144" i="1"/>
  <c r="I1144" i="1"/>
  <c r="H1144" i="1"/>
  <c r="F1144" i="1"/>
  <c r="D1144" i="1"/>
  <c r="B1144" i="1"/>
  <c r="A1144" i="1"/>
  <c r="U1256" i="1"/>
  <c r="R1256" i="1"/>
  <c r="Q1256" i="1"/>
  <c r="P1256" i="1"/>
  <c r="O1256" i="1"/>
  <c r="N1256" i="1"/>
  <c r="M1256" i="1"/>
  <c r="J1256" i="1"/>
  <c r="I1256" i="1"/>
  <c r="H1256" i="1"/>
  <c r="F1256" i="1"/>
  <c r="D1256" i="1"/>
  <c r="B1256" i="1"/>
  <c r="A1256" i="1"/>
  <c r="U1263" i="1"/>
  <c r="R1263" i="1"/>
  <c r="Q1263" i="1"/>
  <c r="P1263" i="1"/>
  <c r="O1263" i="1"/>
  <c r="N1263" i="1"/>
  <c r="M1263" i="1"/>
  <c r="I1263" i="1"/>
  <c r="H1263" i="1"/>
  <c r="F1263" i="1"/>
  <c r="D1263" i="1"/>
  <c r="B1263" i="1"/>
  <c r="A1263" i="1"/>
  <c r="U1248" i="1"/>
  <c r="R1248" i="1"/>
  <c r="Q1248" i="1"/>
  <c r="P1248" i="1"/>
  <c r="O1248" i="1"/>
  <c r="N1248" i="1"/>
  <c r="M1248" i="1"/>
  <c r="J1248" i="1"/>
  <c r="I1248" i="1"/>
  <c r="H1248" i="1"/>
  <c r="F1248" i="1"/>
  <c r="D1248" i="1"/>
  <c r="B1248" i="1"/>
  <c r="A1248" i="1"/>
  <c r="U1420" i="1"/>
  <c r="R1420" i="1"/>
  <c r="Q1420" i="1"/>
  <c r="P1420" i="1"/>
  <c r="O1420" i="1"/>
  <c r="N1420" i="1"/>
  <c r="M1420" i="1"/>
  <c r="J1420" i="1"/>
  <c r="I1420" i="1"/>
  <c r="H1420" i="1"/>
  <c r="F1420" i="1"/>
  <c r="D1420" i="1"/>
  <c r="B1420" i="1"/>
  <c r="A1420" i="1"/>
  <c r="U1394" i="1"/>
  <c r="R1394" i="1"/>
  <c r="Q1394" i="1"/>
  <c r="P1394" i="1"/>
  <c r="O1394" i="1"/>
  <c r="N1394" i="1"/>
  <c r="M1394" i="1"/>
  <c r="J1394" i="1"/>
  <c r="I1394" i="1"/>
  <c r="H1394" i="1"/>
  <c r="F1394" i="1"/>
  <c r="D1394" i="1"/>
  <c r="B1394" i="1"/>
  <c r="A1394" i="1"/>
  <c r="U1416" i="1"/>
  <c r="R1416" i="1"/>
  <c r="Q1416" i="1"/>
  <c r="P1416" i="1"/>
  <c r="O1416" i="1"/>
  <c r="N1416" i="1"/>
  <c r="M1416" i="1"/>
  <c r="J1416" i="1"/>
  <c r="I1416" i="1"/>
  <c r="H1416" i="1"/>
  <c r="F1416" i="1"/>
  <c r="D1416" i="1"/>
  <c r="B1416" i="1"/>
  <c r="A1416" i="1"/>
  <c r="U1429" i="1"/>
  <c r="R1429" i="1"/>
  <c r="Q1429" i="1"/>
  <c r="P1429" i="1"/>
  <c r="O1429" i="1"/>
  <c r="N1429" i="1"/>
  <c r="M1429" i="1"/>
  <c r="K1429" i="1"/>
  <c r="J1429" i="1"/>
  <c r="I1429" i="1"/>
  <c r="H1429" i="1"/>
  <c r="F1429" i="1"/>
  <c r="D1429" i="1"/>
  <c r="B1429" i="1"/>
  <c r="A1429" i="1"/>
  <c r="U1539" i="1"/>
  <c r="R1539" i="1"/>
  <c r="Q1539" i="1"/>
  <c r="P1539" i="1"/>
  <c r="O1539" i="1"/>
  <c r="N1539" i="1"/>
  <c r="M1539" i="1"/>
  <c r="I1539" i="1"/>
  <c r="H1539" i="1"/>
  <c r="F1539" i="1"/>
  <c r="D1539" i="1"/>
  <c r="B1539" i="1"/>
  <c r="A1539" i="1"/>
  <c r="U1882" i="1"/>
  <c r="R1882" i="1"/>
  <c r="Q1882" i="1"/>
  <c r="P1882" i="1"/>
  <c r="O1882" i="1"/>
  <c r="N1882" i="1"/>
  <c r="M1882" i="1"/>
  <c r="J1882" i="1"/>
  <c r="I1882" i="1"/>
  <c r="H1882" i="1"/>
  <c r="F1882" i="1"/>
  <c r="D1882" i="1"/>
  <c r="B1882" i="1"/>
  <c r="A1882" i="1"/>
  <c r="U1888" i="1"/>
  <c r="R1888" i="1"/>
  <c r="Q1888" i="1"/>
  <c r="P1888" i="1"/>
  <c r="O1888" i="1"/>
  <c r="N1888" i="1"/>
  <c r="M1888" i="1"/>
  <c r="J1888" i="1"/>
  <c r="I1888" i="1"/>
  <c r="H1888" i="1"/>
  <c r="F1888" i="1"/>
  <c r="D1888" i="1"/>
  <c r="B1888" i="1"/>
  <c r="A1888" i="1"/>
  <c r="U1966" i="1"/>
  <c r="R1966" i="1"/>
  <c r="Q1966" i="1"/>
  <c r="P1966" i="1"/>
  <c r="O1966" i="1"/>
  <c r="N1966" i="1"/>
  <c r="M1966" i="1"/>
  <c r="J1966" i="1"/>
  <c r="I1966" i="1"/>
  <c r="H1966" i="1"/>
  <c r="F1966" i="1"/>
  <c r="D1966" i="1"/>
  <c r="B1966" i="1"/>
  <c r="A1966" i="1"/>
  <c r="U3251" i="1"/>
  <c r="R3251" i="1"/>
  <c r="Q3251" i="1"/>
  <c r="P3251" i="1"/>
  <c r="O3251" i="1"/>
  <c r="N3251" i="1"/>
  <c r="M3251" i="1"/>
  <c r="J3251" i="1"/>
  <c r="I3251" i="1"/>
  <c r="H3251" i="1"/>
  <c r="G3251" i="1"/>
  <c r="F3251" i="1"/>
  <c r="D3251" i="1"/>
  <c r="B3251" i="1"/>
  <c r="A3251" i="1"/>
  <c r="U3250" i="1"/>
  <c r="R3250" i="1"/>
  <c r="Q3250" i="1"/>
  <c r="P3250" i="1"/>
  <c r="O3250" i="1"/>
  <c r="N3250" i="1"/>
  <c r="M3250" i="1"/>
  <c r="K3250" i="1"/>
  <c r="J3250" i="1"/>
  <c r="I3250" i="1"/>
  <c r="H3250" i="1"/>
  <c r="F3250" i="1"/>
  <c r="D3250" i="1"/>
  <c r="B3250" i="1"/>
  <c r="A3250" i="1"/>
  <c r="U3249" i="1"/>
  <c r="R3249" i="1"/>
  <c r="Q3249" i="1"/>
  <c r="P3249" i="1"/>
  <c r="O3249" i="1"/>
  <c r="N3249" i="1"/>
  <c r="M3249" i="1"/>
  <c r="J3249" i="1"/>
  <c r="I3249" i="1"/>
  <c r="H3249" i="1"/>
  <c r="F3249" i="1"/>
  <c r="D3249" i="1"/>
  <c r="B3249" i="1"/>
  <c r="A3249" i="1"/>
  <c r="U2343" i="1"/>
  <c r="R2343" i="1"/>
  <c r="Q2343" i="1"/>
  <c r="P2343" i="1"/>
  <c r="O2343" i="1"/>
  <c r="N2343" i="1"/>
  <c r="M2343" i="1"/>
  <c r="J2343" i="1"/>
  <c r="I2343" i="1"/>
  <c r="H2343" i="1"/>
  <c r="F2343" i="1"/>
  <c r="D2343" i="1"/>
  <c r="B2343" i="1"/>
  <c r="A2343" i="1"/>
  <c r="U2365" i="1"/>
  <c r="R2365" i="1"/>
  <c r="Q2365" i="1"/>
  <c r="P2365" i="1"/>
  <c r="O2365" i="1"/>
  <c r="N2365" i="1"/>
  <c r="M2365" i="1"/>
  <c r="J2365" i="1"/>
  <c r="I2365" i="1"/>
  <c r="H2365" i="1"/>
  <c r="F2365" i="1"/>
  <c r="D2365" i="1"/>
  <c r="B2365" i="1"/>
  <c r="A2365" i="1"/>
  <c r="U2310" i="1"/>
  <c r="R2310" i="1"/>
  <c r="Q2310" i="1"/>
  <c r="P2310" i="1"/>
  <c r="O2310" i="1"/>
  <c r="N2310" i="1"/>
  <c r="M2310" i="1"/>
  <c r="J2310" i="1"/>
  <c r="I2310" i="1"/>
  <c r="H2310" i="1"/>
  <c r="F2310" i="1"/>
  <c r="D2310" i="1"/>
  <c r="B2310" i="1"/>
  <c r="A2310" i="1"/>
  <c r="U2309" i="1"/>
  <c r="R2309" i="1"/>
  <c r="Q2309" i="1"/>
  <c r="P2309" i="1"/>
  <c r="O2309" i="1"/>
  <c r="N2309" i="1"/>
  <c r="M2309" i="1"/>
  <c r="J2309" i="1"/>
  <c r="I2309" i="1"/>
  <c r="H2309" i="1"/>
  <c r="F2309" i="1"/>
  <c r="D2309" i="1"/>
  <c r="B2309" i="1"/>
  <c r="A2309" i="1"/>
  <c r="U2442" i="1"/>
  <c r="R2442" i="1"/>
  <c r="Q2442" i="1"/>
  <c r="P2442" i="1"/>
  <c r="O2442" i="1"/>
  <c r="N2442" i="1"/>
  <c r="M2442" i="1"/>
  <c r="J2442" i="1"/>
  <c r="I2442" i="1"/>
  <c r="H2442" i="1"/>
  <c r="F2442" i="1"/>
  <c r="D2442" i="1"/>
  <c r="B2442" i="1"/>
  <c r="A2442" i="1"/>
  <c r="U2447" i="1"/>
  <c r="R2447" i="1"/>
  <c r="Q2447" i="1"/>
  <c r="P2447" i="1"/>
  <c r="O2447" i="1"/>
  <c r="N2447" i="1"/>
  <c r="M2447" i="1"/>
  <c r="K2447" i="1"/>
  <c r="J2447" i="1"/>
  <c r="I2447" i="1"/>
  <c r="H2447" i="1"/>
  <c r="F2447" i="1"/>
  <c r="E2447" i="1"/>
  <c r="D2447" i="1"/>
  <c r="B2447" i="1"/>
  <c r="A2447" i="1"/>
  <c r="U2505" i="1"/>
  <c r="R2505" i="1"/>
  <c r="Q2505" i="1"/>
  <c r="P2505" i="1"/>
  <c r="O2505" i="1"/>
  <c r="N2505" i="1"/>
  <c r="M2505" i="1"/>
  <c r="J2505" i="1"/>
  <c r="I2505" i="1"/>
  <c r="H2505" i="1"/>
  <c r="F2505" i="1"/>
  <c r="D2505" i="1"/>
  <c r="B2505" i="1"/>
  <c r="A2505" i="1"/>
  <c r="U2519" i="1"/>
  <c r="R2519" i="1"/>
  <c r="Q2519" i="1"/>
  <c r="P2519" i="1"/>
  <c r="O2519" i="1"/>
  <c r="N2519" i="1"/>
  <c r="M2519" i="1"/>
  <c r="K2519" i="1"/>
  <c r="J2519" i="1"/>
  <c r="I2519" i="1"/>
  <c r="H2519" i="1"/>
  <c r="F2519" i="1"/>
  <c r="D2519" i="1"/>
  <c r="B2519" i="1"/>
  <c r="A2519" i="1"/>
  <c r="U2487" i="1"/>
  <c r="R2487" i="1"/>
  <c r="Q2487" i="1"/>
  <c r="P2487" i="1"/>
  <c r="O2487" i="1"/>
  <c r="N2487" i="1"/>
  <c r="M2487" i="1"/>
  <c r="K2487" i="1"/>
  <c r="J2487" i="1"/>
  <c r="I2487" i="1"/>
  <c r="H2487" i="1"/>
  <c r="F2487" i="1"/>
  <c r="D2487" i="1"/>
  <c r="B2487" i="1"/>
  <c r="A2487" i="1"/>
  <c r="U2585" i="1"/>
  <c r="R2585" i="1"/>
  <c r="Q2585" i="1"/>
  <c r="P2585" i="1"/>
  <c r="O2585" i="1"/>
  <c r="N2585" i="1"/>
  <c r="M2585" i="1"/>
  <c r="K2585" i="1"/>
  <c r="J2585" i="1"/>
  <c r="I2585" i="1"/>
  <c r="H2585" i="1"/>
  <c r="F2585" i="1"/>
  <c r="D2585" i="1"/>
  <c r="B2585" i="1"/>
  <c r="A2585" i="1"/>
  <c r="U2623" i="1"/>
  <c r="R2623" i="1"/>
  <c r="Q2623" i="1"/>
  <c r="P2623" i="1"/>
  <c r="O2623" i="1"/>
  <c r="N2623" i="1"/>
  <c r="M2623" i="1"/>
  <c r="K2623" i="1"/>
  <c r="J2623" i="1"/>
  <c r="I2623" i="1"/>
  <c r="H2623" i="1"/>
  <c r="F2623" i="1"/>
  <c r="D2623" i="1"/>
  <c r="B2623" i="1"/>
  <c r="A2623" i="1"/>
  <c r="U2643" i="1"/>
  <c r="R2643" i="1"/>
  <c r="Q2643" i="1"/>
  <c r="P2643" i="1"/>
  <c r="O2643" i="1"/>
  <c r="N2643" i="1"/>
  <c r="M2643" i="1"/>
  <c r="K2643" i="1"/>
  <c r="J2643" i="1"/>
  <c r="I2643" i="1"/>
  <c r="H2643" i="1"/>
  <c r="F2643" i="1"/>
  <c r="E2643" i="1"/>
  <c r="D2643" i="1"/>
  <c r="B2643" i="1"/>
  <c r="A2643" i="1"/>
  <c r="U20" i="1"/>
  <c r="R20" i="1"/>
  <c r="Q20" i="1"/>
  <c r="P20" i="1"/>
  <c r="O20" i="1"/>
  <c r="N20" i="1"/>
  <c r="M20" i="1"/>
  <c r="J20" i="1"/>
  <c r="I20" i="1"/>
  <c r="H20" i="1"/>
  <c r="F20" i="1"/>
  <c r="D20" i="1"/>
  <c r="B20" i="1"/>
  <c r="A20" i="1"/>
  <c r="U27" i="1"/>
  <c r="R27" i="1"/>
  <c r="Q27" i="1"/>
  <c r="P27" i="1"/>
  <c r="O27" i="1"/>
  <c r="N27" i="1"/>
  <c r="M27" i="1"/>
  <c r="J27" i="1"/>
  <c r="I27" i="1"/>
  <c r="H27" i="1"/>
  <c r="G27" i="1"/>
  <c r="F27" i="1"/>
  <c r="E27" i="1"/>
  <c r="D27" i="1"/>
  <c r="B27" i="1"/>
  <c r="A27" i="1"/>
  <c r="U76" i="1"/>
  <c r="R76" i="1"/>
  <c r="Q76" i="1"/>
  <c r="P76" i="1"/>
  <c r="O76" i="1"/>
  <c r="N76" i="1"/>
  <c r="M76" i="1"/>
  <c r="J76" i="1"/>
  <c r="I76" i="1"/>
  <c r="H76" i="1"/>
  <c r="F76" i="1"/>
  <c r="D76" i="1"/>
  <c r="B76" i="1"/>
  <c r="A76" i="1"/>
  <c r="U19" i="1"/>
  <c r="R19" i="1"/>
  <c r="Q19" i="1"/>
  <c r="P19" i="1"/>
  <c r="O19" i="1"/>
  <c r="N19" i="1"/>
  <c r="M19" i="1"/>
  <c r="J19" i="1"/>
  <c r="I19" i="1"/>
  <c r="H19" i="1"/>
  <c r="F19" i="1"/>
  <c r="D19" i="1"/>
  <c r="B19" i="1"/>
  <c r="A19" i="1"/>
  <c r="U186" i="1"/>
  <c r="R186" i="1"/>
  <c r="Q186" i="1"/>
  <c r="P186" i="1"/>
  <c r="O186" i="1"/>
  <c r="N186" i="1"/>
  <c r="M186" i="1"/>
  <c r="I186" i="1"/>
  <c r="H186" i="1"/>
  <c r="F186" i="1"/>
  <c r="D186" i="1"/>
  <c r="B186" i="1"/>
  <c r="A186" i="1"/>
  <c r="U134" i="1"/>
  <c r="R134" i="1"/>
  <c r="Q134" i="1"/>
  <c r="P134" i="1"/>
  <c r="O134" i="1"/>
  <c r="N134" i="1"/>
  <c r="M134" i="1"/>
  <c r="I134" i="1"/>
  <c r="H134" i="1"/>
  <c r="F134" i="1"/>
  <c r="D134" i="1"/>
  <c r="B134" i="1"/>
  <c r="A134" i="1"/>
  <c r="U146" i="1"/>
  <c r="R146" i="1"/>
  <c r="Q146" i="1"/>
  <c r="P146" i="1"/>
  <c r="O146" i="1"/>
  <c r="N146" i="1"/>
  <c r="M146" i="1"/>
  <c r="J146" i="1"/>
  <c r="I146" i="1"/>
  <c r="H146" i="1"/>
  <c r="F146" i="1"/>
  <c r="D146" i="1"/>
  <c r="B146" i="1"/>
  <c r="A146" i="1"/>
  <c r="U145" i="1"/>
  <c r="R145" i="1"/>
  <c r="Q145" i="1"/>
  <c r="P145" i="1"/>
  <c r="O145" i="1"/>
  <c r="N145" i="1"/>
  <c r="M145" i="1"/>
  <c r="I145" i="1"/>
  <c r="H145" i="1"/>
  <c r="F145" i="1"/>
  <c r="D145" i="1"/>
  <c r="B145" i="1"/>
  <c r="A145" i="1"/>
  <c r="U164" i="1"/>
  <c r="R164" i="1"/>
  <c r="Q164" i="1"/>
  <c r="P164" i="1"/>
  <c r="O164" i="1"/>
  <c r="N164" i="1"/>
  <c r="M164" i="1"/>
  <c r="J164" i="1"/>
  <c r="I164" i="1"/>
  <c r="H164" i="1"/>
  <c r="F164" i="1"/>
  <c r="D164" i="1"/>
  <c r="B164" i="1"/>
  <c r="A164" i="1"/>
  <c r="U335" i="1"/>
  <c r="R335" i="1"/>
  <c r="Q335" i="1"/>
  <c r="P335" i="1"/>
  <c r="O335" i="1"/>
  <c r="N335" i="1"/>
  <c r="M335" i="1"/>
  <c r="J335" i="1"/>
  <c r="I335" i="1"/>
  <c r="H335" i="1"/>
  <c r="F335" i="1"/>
  <c r="E335" i="1"/>
  <c r="D335" i="1"/>
  <c r="B335" i="1"/>
  <c r="A335" i="1"/>
  <c r="U421" i="1"/>
  <c r="R421" i="1"/>
  <c r="Q421" i="1"/>
  <c r="P421" i="1"/>
  <c r="O421" i="1"/>
  <c r="N421" i="1"/>
  <c r="M421" i="1"/>
  <c r="J421" i="1"/>
  <c r="I421" i="1"/>
  <c r="H421" i="1"/>
  <c r="F421" i="1"/>
  <c r="D421" i="1"/>
  <c r="B421" i="1"/>
  <c r="A421" i="1"/>
  <c r="U458" i="1"/>
  <c r="R458" i="1"/>
  <c r="Q458" i="1"/>
  <c r="P458" i="1"/>
  <c r="O458" i="1"/>
  <c r="N458" i="1"/>
  <c r="M458" i="1"/>
  <c r="J458" i="1"/>
  <c r="I458" i="1"/>
  <c r="H458" i="1"/>
  <c r="F458" i="1"/>
  <c r="D458" i="1"/>
  <c r="B458" i="1"/>
  <c r="A458" i="1"/>
  <c r="U69" i="1"/>
  <c r="R69" i="1"/>
  <c r="Q69" i="1"/>
  <c r="P69" i="1"/>
  <c r="O69" i="1"/>
  <c r="N69" i="1"/>
  <c r="M69" i="1"/>
  <c r="J69" i="1"/>
  <c r="I69" i="1"/>
  <c r="H69" i="1"/>
  <c r="F69" i="1"/>
  <c r="D69" i="1"/>
  <c r="B69" i="1"/>
  <c r="A69" i="1"/>
  <c r="U189" i="1"/>
  <c r="R189" i="1"/>
  <c r="Q189" i="1"/>
  <c r="P189" i="1"/>
  <c r="O189" i="1"/>
  <c r="N189" i="1"/>
  <c r="M189" i="1"/>
  <c r="J189" i="1"/>
  <c r="I189" i="1"/>
  <c r="H189" i="1"/>
  <c r="F189" i="1"/>
  <c r="D189" i="1"/>
  <c r="B189" i="1"/>
  <c r="A189" i="1"/>
  <c r="U144" i="1"/>
  <c r="R144" i="1"/>
  <c r="Q144" i="1"/>
  <c r="P144" i="1"/>
  <c r="O144" i="1"/>
  <c r="N144" i="1"/>
  <c r="M144" i="1"/>
  <c r="J144" i="1"/>
  <c r="I144" i="1"/>
  <c r="H144" i="1"/>
  <c r="G144" i="1"/>
  <c r="F144" i="1"/>
  <c r="D144" i="1"/>
  <c r="B144" i="1"/>
  <c r="A144" i="1"/>
  <c r="U427" i="1"/>
  <c r="R427" i="1"/>
  <c r="Q427" i="1"/>
  <c r="P427" i="1"/>
  <c r="O427" i="1"/>
  <c r="N427" i="1"/>
  <c r="M427" i="1"/>
  <c r="J427" i="1"/>
  <c r="I427" i="1"/>
  <c r="H427" i="1"/>
  <c r="F427" i="1"/>
  <c r="D427" i="1"/>
  <c r="B427" i="1"/>
  <c r="A427" i="1"/>
  <c r="U322" i="1"/>
  <c r="R322" i="1"/>
  <c r="Q322" i="1"/>
  <c r="P322" i="1"/>
  <c r="O322" i="1"/>
  <c r="N322" i="1"/>
  <c r="M322" i="1"/>
  <c r="J322" i="1"/>
  <c r="I322" i="1"/>
  <c r="H322" i="1"/>
  <c r="F322" i="1"/>
  <c r="E322" i="1"/>
  <c r="D322" i="1"/>
  <c r="B322" i="1"/>
  <c r="A322" i="1"/>
  <c r="U471" i="1"/>
  <c r="R471" i="1"/>
  <c r="Q471" i="1"/>
  <c r="P471" i="1"/>
  <c r="O471" i="1"/>
  <c r="N471" i="1"/>
  <c r="M471" i="1"/>
  <c r="J471" i="1"/>
  <c r="I471" i="1"/>
  <c r="H471" i="1"/>
  <c r="F471" i="1"/>
  <c r="D471" i="1"/>
  <c r="B471" i="1"/>
  <c r="A471" i="1"/>
  <c r="U143" i="1"/>
  <c r="R143" i="1"/>
  <c r="Q143" i="1"/>
  <c r="P143" i="1"/>
  <c r="O143" i="1"/>
  <c r="N143" i="1"/>
  <c r="M143" i="1"/>
  <c r="J143" i="1"/>
  <c r="I143" i="1"/>
  <c r="H143" i="1"/>
  <c r="F143" i="1"/>
  <c r="D143" i="1"/>
  <c r="B143" i="1"/>
  <c r="A143" i="1"/>
  <c r="U142" i="1"/>
  <c r="R142" i="1"/>
  <c r="Q142" i="1"/>
  <c r="P142" i="1"/>
  <c r="O142" i="1"/>
  <c r="N142" i="1"/>
  <c r="M142" i="1"/>
  <c r="J142" i="1"/>
  <c r="I142" i="1"/>
  <c r="H142" i="1"/>
  <c r="F142" i="1"/>
  <c r="D142" i="1"/>
  <c r="B142" i="1"/>
  <c r="A142" i="1"/>
  <c r="U502" i="1"/>
  <c r="R502" i="1"/>
  <c r="Q502" i="1"/>
  <c r="P502" i="1"/>
  <c r="O502" i="1"/>
  <c r="N502" i="1"/>
  <c r="M502" i="1"/>
  <c r="J502" i="1"/>
  <c r="I502" i="1"/>
  <c r="H502" i="1"/>
  <c r="F502" i="1"/>
  <c r="D502" i="1"/>
  <c r="B502" i="1"/>
  <c r="A502" i="1"/>
  <c r="U420" i="1"/>
  <c r="R420" i="1"/>
  <c r="Q420" i="1"/>
  <c r="P420" i="1"/>
  <c r="O420" i="1"/>
  <c r="N420" i="1"/>
  <c r="M420" i="1"/>
  <c r="J420" i="1"/>
  <c r="I420" i="1"/>
  <c r="H420" i="1"/>
  <c r="F420" i="1"/>
  <c r="D420" i="1"/>
  <c r="B420" i="1"/>
  <c r="A420" i="1"/>
  <c r="U529" i="1"/>
  <c r="R529" i="1"/>
  <c r="Q529" i="1"/>
  <c r="P529" i="1"/>
  <c r="O529" i="1"/>
  <c r="N529" i="1"/>
  <c r="M529" i="1"/>
  <c r="J529" i="1"/>
  <c r="I529" i="1"/>
  <c r="H529" i="1"/>
  <c r="F529" i="1"/>
  <c r="D529" i="1"/>
  <c r="B529" i="1"/>
  <c r="A529" i="1"/>
  <c r="U452" i="1"/>
  <c r="R452" i="1"/>
  <c r="Q452" i="1"/>
  <c r="P452" i="1"/>
  <c r="O452" i="1"/>
  <c r="N452" i="1"/>
  <c r="M452" i="1"/>
  <c r="J452" i="1"/>
  <c r="I452" i="1"/>
  <c r="H452" i="1"/>
  <c r="F452" i="1"/>
  <c r="D452" i="1"/>
  <c r="B452" i="1"/>
  <c r="A452" i="1"/>
  <c r="U460" i="1"/>
  <c r="R460" i="1"/>
  <c r="Q460" i="1"/>
  <c r="P460" i="1"/>
  <c r="O460" i="1"/>
  <c r="N460" i="1"/>
  <c r="M460" i="1"/>
  <c r="J460" i="1"/>
  <c r="I460" i="1"/>
  <c r="H460" i="1"/>
  <c r="F460" i="1"/>
  <c r="D460" i="1"/>
  <c r="B460" i="1"/>
  <c r="A460" i="1"/>
  <c r="U480" i="1"/>
  <c r="R480" i="1"/>
  <c r="Q480" i="1"/>
  <c r="P480" i="1"/>
  <c r="O480" i="1"/>
  <c r="N480" i="1"/>
  <c r="M480" i="1"/>
  <c r="I480" i="1"/>
  <c r="H480" i="1"/>
  <c r="F480" i="1"/>
  <c r="D480" i="1"/>
  <c r="B480" i="1"/>
  <c r="A480" i="1"/>
  <c r="U557" i="1"/>
  <c r="R557" i="1"/>
  <c r="Q557" i="1"/>
  <c r="P557" i="1"/>
  <c r="O557" i="1"/>
  <c r="N557" i="1"/>
  <c r="M557" i="1"/>
  <c r="J557" i="1"/>
  <c r="I557" i="1"/>
  <c r="H557" i="1"/>
  <c r="F557" i="1"/>
  <c r="D557" i="1"/>
  <c r="B557" i="1"/>
  <c r="A557" i="1"/>
  <c r="U528" i="1"/>
  <c r="R528" i="1"/>
  <c r="Q528" i="1"/>
  <c r="P528" i="1"/>
  <c r="O528" i="1"/>
  <c r="N528" i="1"/>
  <c r="M528" i="1"/>
  <c r="I528" i="1"/>
  <c r="H528" i="1"/>
  <c r="F528" i="1"/>
  <c r="D528" i="1"/>
  <c r="B528" i="1"/>
  <c r="A528" i="1"/>
  <c r="U377" i="1"/>
  <c r="R377" i="1"/>
  <c r="Q377" i="1"/>
  <c r="P377" i="1"/>
  <c r="O377" i="1"/>
  <c r="N377" i="1"/>
  <c r="M377" i="1"/>
  <c r="J377" i="1"/>
  <c r="I377" i="1"/>
  <c r="H377" i="1"/>
  <c r="F377" i="1"/>
  <c r="D377" i="1"/>
  <c r="B377" i="1"/>
  <c r="A377" i="1"/>
  <c r="U567" i="1"/>
  <c r="R567" i="1"/>
  <c r="Q567" i="1"/>
  <c r="P567" i="1"/>
  <c r="O567" i="1"/>
  <c r="N567" i="1"/>
  <c r="M567" i="1"/>
  <c r="J567" i="1"/>
  <c r="I567" i="1"/>
  <c r="H567" i="1"/>
  <c r="F567" i="1"/>
  <c r="D567" i="1"/>
  <c r="B567" i="1"/>
  <c r="A567" i="1"/>
  <c r="U550" i="1"/>
  <c r="R550" i="1"/>
  <c r="Q550" i="1"/>
  <c r="P550" i="1"/>
  <c r="O550" i="1"/>
  <c r="N550" i="1"/>
  <c r="M550" i="1"/>
  <c r="J550" i="1"/>
  <c r="I550" i="1"/>
  <c r="H550" i="1"/>
  <c r="F550" i="1"/>
  <c r="D550" i="1"/>
  <c r="B550" i="1"/>
  <c r="A550" i="1"/>
  <c r="U571" i="1"/>
  <c r="R571" i="1"/>
  <c r="Q571" i="1"/>
  <c r="P571" i="1"/>
  <c r="O571" i="1"/>
  <c r="N571" i="1"/>
  <c r="M571" i="1"/>
  <c r="J571" i="1"/>
  <c r="I571" i="1"/>
  <c r="H571" i="1"/>
  <c r="F571" i="1"/>
  <c r="D571" i="1"/>
  <c r="B571" i="1"/>
  <c r="A571" i="1"/>
  <c r="U549" i="1"/>
  <c r="R549" i="1"/>
  <c r="Q549" i="1"/>
  <c r="P549" i="1"/>
  <c r="O549" i="1"/>
  <c r="N549" i="1"/>
  <c r="M549" i="1"/>
  <c r="J549" i="1"/>
  <c r="I549" i="1"/>
  <c r="H549" i="1"/>
  <c r="F549" i="1"/>
  <c r="D549" i="1"/>
  <c r="B549" i="1"/>
  <c r="A549" i="1"/>
  <c r="U570" i="1"/>
  <c r="R570" i="1"/>
  <c r="Q570" i="1"/>
  <c r="P570" i="1"/>
  <c r="O570" i="1"/>
  <c r="N570" i="1"/>
  <c r="M570" i="1"/>
  <c r="J570" i="1"/>
  <c r="I570" i="1"/>
  <c r="H570" i="1"/>
  <c r="F570" i="1"/>
  <c r="D570" i="1"/>
  <c r="B570" i="1"/>
  <c r="A570" i="1"/>
  <c r="U659" i="1"/>
  <c r="R659" i="1"/>
  <c r="Q659" i="1"/>
  <c r="P659" i="1"/>
  <c r="O659" i="1"/>
  <c r="N659" i="1"/>
  <c r="M659" i="1"/>
  <c r="J659" i="1"/>
  <c r="I659" i="1"/>
  <c r="H659" i="1"/>
  <c r="F659" i="1"/>
  <c r="D659" i="1"/>
  <c r="B659" i="1"/>
  <c r="A659" i="1"/>
  <c r="U669" i="1"/>
  <c r="R669" i="1"/>
  <c r="Q669" i="1"/>
  <c r="P669" i="1"/>
  <c r="O669" i="1"/>
  <c r="N669" i="1"/>
  <c r="M669" i="1"/>
  <c r="J669" i="1"/>
  <c r="I669" i="1"/>
  <c r="H669" i="1"/>
  <c r="F669" i="1"/>
  <c r="D669" i="1"/>
  <c r="B669" i="1"/>
  <c r="A669" i="1"/>
  <c r="U641" i="1"/>
  <c r="R641" i="1"/>
  <c r="Q641" i="1"/>
  <c r="P641" i="1"/>
  <c r="O641" i="1"/>
  <c r="N641" i="1"/>
  <c r="M641" i="1"/>
  <c r="I641" i="1"/>
  <c r="H641" i="1"/>
  <c r="F641" i="1"/>
  <c r="D641" i="1"/>
  <c r="B641" i="1"/>
  <c r="A641" i="1"/>
  <c r="U678" i="1"/>
  <c r="R678" i="1"/>
  <c r="Q678" i="1"/>
  <c r="P678" i="1"/>
  <c r="O678" i="1"/>
  <c r="N678" i="1"/>
  <c r="M678" i="1"/>
  <c r="J678" i="1"/>
  <c r="I678" i="1"/>
  <c r="H678" i="1"/>
  <c r="F678" i="1"/>
  <c r="D678" i="1"/>
  <c r="B678" i="1"/>
  <c r="A678" i="1"/>
  <c r="U603" i="1"/>
  <c r="R603" i="1"/>
  <c r="Q603" i="1"/>
  <c r="P603" i="1"/>
  <c r="O603" i="1"/>
  <c r="N603" i="1"/>
  <c r="M603" i="1"/>
  <c r="J603" i="1"/>
  <c r="I603" i="1"/>
  <c r="H603" i="1"/>
  <c r="F603" i="1"/>
  <c r="D603" i="1"/>
  <c r="B603" i="1"/>
  <c r="A603" i="1"/>
  <c r="U409" i="1"/>
  <c r="R409" i="1"/>
  <c r="Q409" i="1"/>
  <c r="P409" i="1"/>
  <c r="O409" i="1"/>
  <c r="N409" i="1"/>
  <c r="M409" i="1"/>
  <c r="J409" i="1"/>
  <c r="I409" i="1"/>
  <c r="H409" i="1"/>
  <c r="F409" i="1"/>
  <c r="D409" i="1"/>
  <c r="B409" i="1"/>
  <c r="A409" i="1"/>
  <c r="U479" i="1"/>
  <c r="R479" i="1"/>
  <c r="Q479" i="1"/>
  <c r="P479" i="1"/>
  <c r="O479" i="1"/>
  <c r="N479" i="1"/>
  <c r="M479" i="1"/>
  <c r="I479" i="1"/>
  <c r="H479" i="1"/>
  <c r="F479" i="1"/>
  <c r="D479" i="1"/>
  <c r="B479" i="1"/>
  <c r="A479" i="1"/>
  <c r="U545" i="1"/>
  <c r="R545" i="1"/>
  <c r="Q545" i="1"/>
  <c r="P545" i="1"/>
  <c r="O545" i="1"/>
  <c r="N545" i="1"/>
  <c r="M545" i="1"/>
  <c r="J545" i="1"/>
  <c r="I545" i="1"/>
  <c r="H545" i="1"/>
  <c r="F545" i="1"/>
  <c r="E545" i="1"/>
  <c r="D545" i="1"/>
  <c r="B545" i="1"/>
  <c r="A545" i="1"/>
  <c r="U745" i="1"/>
  <c r="R745" i="1"/>
  <c r="Q745" i="1"/>
  <c r="P745" i="1"/>
  <c r="O745" i="1"/>
  <c r="N745" i="1"/>
  <c r="M745" i="1"/>
  <c r="J745" i="1"/>
  <c r="I745" i="1"/>
  <c r="H745" i="1"/>
  <c r="F745" i="1"/>
  <c r="D745" i="1"/>
  <c r="B745" i="1"/>
  <c r="A745" i="1"/>
  <c r="U647" i="1"/>
  <c r="R647" i="1"/>
  <c r="Q647" i="1"/>
  <c r="P647" i="1"/>
  <c r="O647" i="1"/>
  <c r="N647" i="1"/>
  <c r="M647" i="1"/>
  <c r="I647" i="1"/>
  <c r="H647" i="1"/>
  <c r="F647" i="1"/>
  <c r="D647" i="1"/>
  <c r="B647" i="1"/>
  <c r="A647" i="1"/>
  <c r="U744" i="1"/>
  <c r="R744" i="1"/>
  <c r="Q744" i="1"/>
  <c r="P744" i="1"/>
  <c r="O744" i="1"/>
  <c r="N744" i="1"/>
  <c r="M744" i="1"/>
  <c r="J744" i="1"/>
  <c r="I744" i="1"/>
  <c r="H744" i="1"/>
  <c r="F744" i="1"/>
  <c r="D744" i="1"/>
  <c r="B744" i="1"/>
  <c r="A744" i="1"/>
  <c r="U602" i="1"/>
  <c r="R602" i="1"/>
  <c r="Q602" i="1"/>
  <c r="P602" i="1"/>
  <c r="O602" i="1"/>
  <c r="N602" i="1"/>
  <c r="M602" i="1"/>
  <c r="J602" i="1"/>
  <c r="I602" i="1"/>
  <c r="H602" i="1"/>
  <c r="F602" i="1"/>
  <c r="E602" i="1"/>
  <c r="D602" i="1"/>
  <c r="B602" i="1"/>
  <c r="A602" i="1"/>
  <c r="U706" i="1"/>
  <c r="R706" i="1"/>
  <c r="Q706" i="1"/>
  <c r="P706" i="1"/>
  <c r="O706" i="1"/>
  <c r="N706" i="1"/>
  <c r="M706" i="1"/>
  <c r="I706" i="1"/>
  <c r="H706" i="1"/>
  <c r="F706" i="1"/>
  <c r="E706" i="1"/>
  <c r="D706" i="1"/>
  <c r="B706" i="1"/>
  <c r="A706" i="1"/>
  <c r="U610" i="1"/>
  <c r="R610" i="1"/>
  <c r="Q610" i="1"/>
  <c r="P610" i="1"/>
  <c r="O610" i="1"/>
  <c r="N610" i="1"/>
  <c r="M610" i="1"/>
  <c r="J610" i="1"/>
  <c r="I610" i="1"/>
  <c r="H610" i="1"/>
  <c r="F610" i="1"/>
  <c r="D610" i="1"/>
  <c r="B610" i="1"/>
  <c r="A610" i="1"/>
  <c r="U720" i="1"/>
  <c r="R720" i="1"/>
  <c r="Q720" i="1"/>
  <c r="P720" i="1"/>
  <c r="O720" i="1"/>
  <c r="N720" i="1"/>
  <c r="M720" i="1"/>
  <c r="J720" i="1"/>
  <c r="I720" i="1"/>
  <c r="H720" i="1"/>
  <c r="F720" i="1"/>
  <c r="D720" i="1"/>
  <c r="B720" i="1"/>
  <c r="A720" i="1"/>
  <c r="U685" i="1"/>
  <c r="R685" i="1"/>
  <c r="Q685" i="1"/>
  <c r="P685" i="1"/>
  <c r="O685" i="1"/>
  <c r="N685" i="1"/>
  <c r="M685" i="1"/>
  <c r="J685" i="1"/>
  <c r="I685" i="1"/>
  <c r="H685" i="1"/>
  <c r="F685" i="1"/>
  <c r="D685" i="1"/>
  <c r="B685" i="1"/>
  <c r="A685" i="1"/>
  <c r="U622" i="1"/>
  <c r="R622" i="1"/>
  <c r="Q622" i="1"/>
  <c r="P622" i="1"/>
  <c r="O622" i="1"/>
  <c r="N622" i="1"/>
  <c r="M622" i="1"/>
  <c r="J622" i="1"/>
  <c r="I622" i="1"/>
  <c r="H622" i="1"/>
  <c r="F622" i="1"/>
  <c r="D622" i="1"/>
  <c r="B622" i="1"/>
  <c r="A622" i="1"/>
  <c r="U621" i="1"/>
  <c r="R621" i="1"/>
  <c r="Q621" i="1"/>
  <c r="P621" i="1"/>
  <c r="O621" i="1"/>
  <c r="N621" i="1"/>
  <c r="M621" i="1"/>
  <c r="J621" i="1"/>
  <c r="I621" i="1"/>
  <c r="H621" i="1"/>
  <c r="F621" i="1"/>
  <c r="D621" i="1"/>
  <c r="B621" i="1"/>
  <c r="A621" i="1"/>
  <c r="U793" i="1"/>
  <c r="R793" i="1"/>
  <c r="Q793" i="1"/>
  <c r="P793" i="1"/>
  <c r="O793" i="1"/>
  <c r="N793" i="1"/>
  <c r="M793" i="1"/>
  <c r="J793" i="1"/>
  <c r="I793" i="1"/>
  <c r="H793" i="1"/>
  <c r="F793" i="1"/>
  <c r="D793" i="1"/>
  <c r="B793" i="1"/>
  <c r="A793" i="1"/>
  <c r="U792" i="1"/>
  <c r="R792" i="1"/>
  <c r="Q792" i="1"/>
  <c r="P792" i="1"/>
  <c r="O792" i="1"/>
  <c r="N792" i="1"/>
  <c r="M792" i="1"/>
  <c r="J792" i="1"/>
  <c r="I792" i="1"/>
  <c r="H792" i="1"/>
  <c r="F792" i="1"/>
  <c r="D792" i="1"/>
  <c r="B792" i="1"/>
  <c r="A792" i="1"/>
  <c r="U447" i="1"/>
  <c r="R447" i="1"/>
  <c r="Q447" i="1"/>
  <c r="P447" i="1"/>
  <c r="O447" i="1"/>
  <c r="N447" i="1"/>
  <c r="M447" i="1"/>
  <c r="J447" i="1"/>
  <c r="I447" i="1"/>
  <c r="H447" i="1"/>
  <c r="F447" i="1"/>
  <c r="D447" i="1"/>
  <c r="B447" i="1"/>
  <c r="A447" i="1"/>
  <c r="U677" i="1"/>
  <c r="R677" i="1"/>
  <c r="Q677" i="1"/>
  <c r="P677" i="1"/>
  <c r="O677" i="1"/>
  <c r="N677" i="1"/>
  <c r="M677" i="1"/>
  <c r="I677" i="1"/>
  <c r="H677" i="1"/>
  <c r="F677" i="1"/>
  <c r="E677" i="1"/>
  <c r="D677" i="1"/>
  <c r="B677" i="1"/>
  <c r="A677" i="1"/>
  <c r="U827" i="1"/>
  <c r="R827" i="1"/>
  <c r="Q827" i="1"/>
  <c r="P827" i="1"/>
  <c r="O827" i="1"/>
  <c r="N827" i="1"/>
  <c r="M827" i="1"/>
  <c r="J827" i="1"/>
  <c r="I827" i="1"/>
  <c r="H827" i="1"/>
  <c r="F827" i="1"/>
  <c r="D827" i="1"/>
  <c r="B827" i="1"/>
  <c r="A827" i="1"/>
  <c r="U620" i="1"/>
  <c r="R620" i="1"/>
  <c r="Q620" i="1"/>
  <c r="P620" i="1"/>
  <c r="O620" i="1"/>
  <c r="N620" i="1"/>
  <c r="M620" i="1"/>
  <c r="J620" i="1"/>
  <c r="I620" i="1"/>
  <c r="H620" i="1"/>
  <c r="F620" i="1"/>
  <c r="D620" i="1"/>
  <c r="B620" i="1"/>
  <c r="A620" i="1"/>
  <c r="U808" i="1"/>
  <c r="R808" i="1"/>
  <c r="Q808" i="1"/>
  <c r="P808" i="1"/>
  <c r="O808" i="1"/>
  <c r="N808" i="1"/>
  <c r="M808" i="1"/>
  <c r="J808" i="1"/>
  <c r="I808" i="1"/>
  <c r="H808" i="1"/>
  <c r="F808" i="1"/>
  <c r="D808" i="1"/>
  <c r="B808" i="1"/>
  <c r="A808" i="1"/>
  <c r="U826" i="1"/>
  <c r="R826" i="1"/>
  <c r="Q826" i="1"/>
  <c r="P826" i="1"/>
  <c r="O826" i="1"/>
  <c r="N826" i="1"/>
  <c r="M826" i="1"/>
  <c r="J826" i="1"/>
  <c r="I826" i="1"/>
  <c r="H826" i="1"/>
  <c r="F826" i="1"/>
  <c r="D826" i="1"/>
  <c r="B826" i="1"/>
  <c r="A826" i="1"/>
  <c r="U804" i="1"/>
  <c r="R804" i="1"/>
  <c r="Q804" i="1"/>
  <c r="P804" i="1"/>
  <c r="O804" i="1"/>
  <c r="N804" i="1"/>
  <c r="M804" i="1"/>
  <c r="J804" i="1"/>
  <c r="I804" i="1"/>
  <c r="H804" i="1"/>
  <c r="F804" i="1"/>
  <c r="D804" i="1"/>
  <c r="B804" i="1"/>
  <c r="A804" i="1"/>
  <c r="U601" i="1"/>
  <c r="R601" i="1"/>
  <c r="Q601" i="1"/>
  <c r="P601" i="1"/>
  <c r="O601" i="1"/>
  <c r="N601" i="1"/>
  <c r="M601" i="1"/>
  <c r="J601" i="1"/>
  <c r="I601" i="1"/>
  <c r="H601" i="1"/>
  <c r="F601" i="1"/>
  <c r="D601" i="1"/>
  <c r="B601" i="1"/>
  <c r="A601" i="1"/>
  <c r="U701" i="1"/>
  <c r="R701" i="1"/>
  <c r="Q701" i="1"/>
  <c r="P701" i="1"/>
  <c r="O701" i="1"/>
  <c r="N701" i="1"/>
  <c r="M701" i="1"/>
  <c r="J701" i="1"/>
  <c r="I701" i="1"/>
  <c r="H701" i="1"/>
  <c r="G701" i="1"/>
  <c r="F701" i="1"/>
  <c r="D701" i="1"/>
  <c r="B701" i="1"/>
  <c r="A701" i="1"/>
  <c r="U871" i="1"/>
  <c r="R871" i="1"/>
  <c r="Q871" i="1"/>
  <c r="P871" i="1"/>
  <c r="O871" i="1"/>
  <c r="N871" i="1"/>
  <c r="M871" i="1"/>
  <c r="J871" i="1"/>
  <c r="I871" i="1"/>
  <c r="H871" i="1"/>
  <c r="F871" i="1"/>
  <c r="D871" i="1"/>
  <c r="B871" i="1"/>
  <c r="A871" i="1"/>
  <c r="U709" i="1"/>
  <c r="R709" i="1"/>
  <c r="Q709" i="1"/>
  <c r="P709" i="1"/>
  <c r="O709" i="1"/>
  <c r="N709" i="1"/>
  <c r="M709" i="1"/>
  <c r="J709" i="1"/>
  <c r="I709" i="1"/>
  <c r="H709" i="1"/>
  <c r="F709" i="1"/>
  <c r="D709" i="1"/>
  <c r="B709" i="1"/>
  <c r="A709" i="1"/>
  <c r="U844" i="1"/>
  <c r="R844" i="1"/>
  <c r="Q844" i="1"/>
  <c r="P844" i="1"/>
  <c r="O844" i="1"/>
  <c r="N844" i="1"/>
  <c r="M844" i="1"/>
  <c r="I844" i="1"/>
  <c r="H844" i="1"/>
  <c r="F844" i="1"/>
  <c r="D844" i="1"/>
  <c r="B844" i="1"/>
  <c r="A844" i="1"/>
  <c r="U854" i="1"/>
  <c r="R854" i="1"/>
  <c r="Q854" i="1"/>
  <c r="P854" i="1"/>
  <c r="O854" i="1"/>
  <c r="N854" i="1"/>
  <c r="M854" i="1"/>
  <c r="J854" i="1"/>
  <c r="I854" i="1"/>
  <c r="H854" i="1"/>
  <c r="F854" i="1"/>
  <c r="D854" i="1"/>
  <c r="B854" i="1"/>
  <c r="A854" i="1"/>
  <c r="U695" i="1"/>
  <c r="R695" i="1"/>
  <c r="Q695" i="1"/>
  <c r="P695" i="1"/>
  <c r="O695" i="1"/>
  <c r="N695" i="1"/>
  <c r="M695" i="1"/>
  <c r="I695" i="1"/>
  <c r="H695" i="1"/>
  <c r="F695" i="1"/>
  <c r="E695" i="1"/>
  <c r="D695" i="1"/>
  <c r="B695" i="1"/>
  <c r="A695" i="1"/>
  <c r="U815" i="1"/>
  <c r="R815" i="1"/>
  <c r="Q815" i="1"/>
  <c r="P815" i="1"/>
  <c r="O815" i="1"/>
  <c r="N815" i="1"/>
  <c r="M815" i="1"/>
  <c r="J815" i="1"/>
  <c r="I815" i="1"/>
  <c r="H815" i="1"/>
  <c r="F815" i="1"/>
  <c r="D815" i="1"/>
  <c r="B815" i="1"/>
  <c r="A815" i="1"/>
  <c r="U894" i="1"/>
  <c r="R894" i="1"/>
  <c r="Q894" i="1"/>
  <c r="P894" i="1"/>
  <c r="O894" i="1"/>
  <c r="N894" i="1"/>
  <c r="M894" i="1"/>
  <c r="J894" i="1"/>
  <c r="I894" i="1"/>
  <c r="H894" i="1"/>
  <c r="G894" i="1"/>
  <c r="F894" i="1"/>
  <c r="D894" i="1"/>
  <c r="B894" i="1"/>
  <c r="A894" i="1"/>
  <c r="U797" i="1"/>
  <c r="R797" i="1"/>
  <c r="Q797" i="1"/>
  <c r="P797" i="1"/>
  <c r="O797" i="1"/>
  <c r="N797" i="1"/>
  <c r="M797" i="1"/>
  <c r="J797" i="1"/>
  <c r="I797" i="1"/>
  <c r="H797" i="1"/>
  <c r="F797" i="1"/>
  <c r="D797" i="1"/>
  <c r="B797" i="1"/>
  <c r="A797" i="1"/>
  <c r="U796" i="1"/>
  <c r="R796" i="1"/>
  <c r="Q796" i="1"/>
  <c r="P796" i="1"/>
  <c r="O796" i="1"/>
  <c r="N796" i="1"/>
  <c r="M796" i="1"/>
  <c r="J796" i="1"/>
  <c r="I796" i="1"/>
  <c r="H796" i="1"/>
  <c r="F796" i="1"/>
  <c r="D796" i="1"/>
  <c r="B796" i="1"/>
  <c r="A796" i="1"/>
  <c r="U890" i="1"/>
  <c r="R890" i="1"/>
  <c r="Q890" i="1"/>
  <c r="P890" i="1"/>
  <c r="O890" i="1"/>
  <c r="N890" i="1"/>
  <c r="M890" i="1"/>
  <c r="J890" i="1"/>
  <c r="I890" i="1"/>
  <c r="H890" i="1"/>
  <c r="F890" i="1"/>
  <c r="D890" i="1"/>
  <c r="B890" i="1"/>
  <c r="A890" i="1"/>
  <c r="U905" i="1"/>
  <c r="R905" i="1"/>
  <c r="Q905" i="1"/>
  <c r="P905" i="1"/>
  <c r="O905" i="1"/>
  <c r="N905" i="1"/>
  <c r="M905" i="1"/>
  <c r="J905" i="1"/>
  <c r="I905" i="1"/>
  <c r="H905" i="1"/>
  <c r="F905" i="1"/>
  <c r="D905" i="1"/>
  <c r="B905" i="1"/>
  <c r="A905" i="1"/>
  <c r="U949" i="1"/>
  <c r="R949" i="1"/>
  <c r="Q949" i="1"/>
  <c r="P949" i="1"/>
  <c r="O949" i="1"/>
  <c r="N949" i="1"/>
  <c r="M949" i="1"/>
  <c r="J949" i="1"/>
  <c r="I949" i="1"/>
  <c r="H949" i="1"/>
  <c r="F949" i="1"/>
  <c r="D949" i="1"/>
  <c r="B949" i="1"/>
  <c r="A949" i="1"/>
  <c r="U922" i="1"/>
  <c r="R922" i="1"/>
  <c r="Q922" i="1"/>
  <c r="P922" i="1"/>
  <c r="O922" i="1"/>
  <c r="N922" i="1"/>
  <c r="M922" i="1"/>
  <c r="I922" i="1"/>
  <c r="H922" i="1"/>
  <c r="F922" i="1"/>
  <c r="D922" i="1"/>
  <c r="B922" i="1"/>
  <c r="A922" i="1"/>
  <c r="U886" i="1"/>
  <c r="R886" i="1"/>
  <c r="Q886" i="1"/>
  <c r="P886" i="1"/>
  <c r="O886" i="1"/>
  <c r="N886" i="1"/>
  <c r="M886" i="1"/>
  <c r="J886" i="1"/>
  <c r="I886" i="1"/>
  <c r="H886" i="1"/>
  <c r="F886" i="1"/>
  <c r="D886" i="1"/>
  <c r="B886" i="1"/>
  <c r="A886" i="1"/>
  <c r="U870" i="1"/>
  <c r="R870" i="1"/>
  <c r="Q870" i="1"/>
  <c r="P870" i="1"/>
  <c r="O870" i="1"/>
  <c r="N870" i="1"/>
  <c r="M870" i="1"/>
  <c r="J870" i="1"/>
  <c r="I870" i="1"/>
  <c r="H870" i="1"/>
  <c r="F870" i="1"/>
  <c r="D870" i="1"/>
  <c r="B870" i="1"/>
  <c r="A870" i="1"/>
  <c r="U998" i="1"/>
  <c r="R998" i="1"/>
  <c r="Q998" i="1"/>
  <c r="P998" i="1"/>
  <c r="O998" i="1"/>
  <c r="N998" i="1"/>
  <c r="M998" i="1"/>
  <c r="I998" i="1"/>
  <c r="H998" i="1"/>
  <c r="F998" i="1"/>
  <c r="D998" i="1"/>
  <c r="B998" i="1"/>
  <c r="A998" i="1"/>
  <c r="U1004" i="1"/>
  <c r="R1004" i="1"/>
  <c r="Q1004" i="1"/>
  <c r="P1004" i="1"/>
  <c r="O1004" i="1"/>
  <c r="N1004" i="1"/>
  <c r="M1004" i="1"/>
  <c r="I1004" i="1"/>
  <c r="H1004" i="1"/>
  <c r="F1004" i="1"/>
  <c r="D1004" i="1"/>
  <c r="B1004" i="1"/>
  <c r="A1004" i="1"/>
  <c r="U1003" i="1"/>
  <c r="R1003" i="1"/>
  <c r="Q1003" i="1"/>
  <c r="P1003" i="1"/>
  <c r="O1003" i="1"/>
  <c r="N1003" i="1"/>
  <c r="M1003" i="1"/>
  <c r="J1003" i="1"/>
  <c r="I1003" i="1"/>
  <c r="H1003" i="1"/>
  <c r="F1003" i="1"/>
  <c r="D1003" i="1"/>
  <c r="B1003" i="1"/>
  <c r="A1003" i="1"/>
  <c r="U1002" i="1"/>
  <c r="R1002" i="1"/>
  <c r="Q1002" i="1"/>
  <c r="P1002" i="1"/>
  <c r="O1002" i="1"/>
  <c r="N1002" i="1"/>
  <c r="M1002" i="1"/>
  <c r="J1002" i="1"/>
  <c r="I1002" i="1"/>
  <c r="H1002" i="1"/>
  <c r="F1002" i="1"/>
  <c r="D1002" i="1"/>
  <c r="B1002" i="1"/>
  <c r="A1002" i="1"/>
  <c r="U1001" i="1"/>
  <c r="R1001" i="1"/>
  <c r="Q1001" i="1"/>
  <c r="P1001" i="1"/>
  <c r="O1001" i="1"/>
  <c r="N1001" i="1"/>
  <c r="M1001" i="1"/>
  <c r="I1001" i="1"/>
  <c r="H1001" i="1"/>
  <c r="F1001" i="1"/>
  <c r="E1001" i="1"/>
  <c r="D1001" i="1"/>
  <c r="B1001" i="1"/>
  <c r="A1001" i="1"/>
  <c r="U1046" i="1"/>
  <c r="R1046" i="1"/>
  <c r="Q1046" i="1"/>
  <c r="P1046" i="1"/>
  <c r="O1046" i="1"/>
  <c r="N1046" i="1"/>
  <c r="M1046" i="1"/>
  <c r="J1046" i="1"/>
  <c r="I1046" i="1"/>
  <c r="H1046" i="1"/>
  <c r="F1046" i="1"/>
  <c r="D1046" i="1"/>
  <c r="B1046" i="1"/>
  <c r="A1046" i="1"/>
  <c r="U1045" i="1"/>
  <c r="R1045" i="1"/>
  <c r="Q1045" i="1"/>
  <c r="P1045" i="1"/>
  <c r="O1045" i="1"/>
  <c r="N1045" i="1"/>
  <c r="M1045" i="1"/>
  <c r="I1045" i="1"/>
  <c r="H1045" i="1"/>
  <c r="F1045" i="1"/>
  <c r="D1045" i="1"/>
  <c r="B1045" i="1"/>
  <c r="A1045" i="1"/>
  <c r="U900" i="1"/>
  <c r="R900" i="1"/>
  <c r="Q900" i="1"/>
  <c r="P900" i="1"/>
  <c r="O900" i="1"/>
  <c r="N900" i="1"/>
  <c r="M900" i="1"/>
  <c r="J900" i="1"/>
  <c r="I900" i="1"/>
  <c r="H900" i="1"/>
  <c r="F900" i="1"/>
  <c r="D900" i="1"/>
  <c r="B900" i="1"/>
  <c r="A900" i="1"/>
  <c r="U1070" i="1"/>
  <c r="R1070" i="1"/>
  <c r="Q1070" i="1"/>
  <c r="P1070" i="1"/>
  <c r="O1070" i="1"/>
  <c r="N1070" i="1"/>
  <c r="M1070" i="1"/>
  <c r="J1070" i="1"/>
  <c r="I1070" i="1"/>
  <c r="H1070" i="1"/>
  <c r="F1070" i="1"/>
  <c r="D1070" i="1"/>
  <c r="B1070" i="1"/>
  <c r="A1070" i="1"/>
  <c r="U1069" i="1"/>
  <c r="R1069" i="1"/>
  <c r="Q1069" i="1"/>
  <c r="P1069" i="1"/>
  <c r="O1069" i="1"/>
  <c r="N1069" i="1"/>
  <c r="M1069" i="1"/>
  <c r="J1069" i="1"/>
  <c r="I1069" i="1"/>
  <c r="H1069" i="1"/>
  <c r="F1069" i="1"/>
  <c r="D1069" i="1"/>
  <c r="B1069" i="1"/>
  <c r="A1069" i="1"/>
  <c r="U1068" i="1"/>
  <c r="R1068" i="1"/>
  <c r="Q1068" i="1"/>
  <c r="P1068" i="1"/>
  <c r="O1068" i="1"/>
  <c r="N1068" i="1"/>
  <c r="M1068" i="1"/>
  <c r="K1068" i="1"/>
  <c r="J1068" i="1"/>
  <c r="I1068" i="1"/>
  <c r="H1068" i="1"/>
  <c r="F1068" i="1"/>
  <c r="D1068" i="1"/>
  <c r="B1068" i="1"/>
  <c r="A1068" i="1"/>
  <c r="U1067" i="1"/>
  <c r="R1067" i="1"/>
  <c r="Q1067" i="1"/>
  <c r="P1067" i="1"/>
  <c r="O1067" i="1"/>
  <c r="N1067" i="1"/>
  <c r="M1067" i="1"/>
  <c r="J1067" i="1"/>
  <c r="I1067" i="1"/>
  <c r="H1067" i="1"/>
  <c r="F1067" i="1"/>
  <c r="D1067" i="1"/>
  <c r="B1067" i="1"/>
  <c r="A1067" i="1"/>
  <c r="U1066" i="1"/>
  <c r="R1066" i="1"/>
  <c r="Q1066" i="1"/>
  <c r="P1066" i="1"/>
  <c r="O1066" i="1"/>
  <c r="N1066" i="1"/>
  <c r="M1066" i="1"/>
  <c r="I1066" i="1"/>
  <c r="H1066" i="1"/>
  <c r="F1066" i="1"/>
  <c r="D1066" i="1"/>
  <c r="B1066" i="1"/>
  <c r="A1066" i="1"/>
  <c r="U1093" i="1"/>
  <c r="R1093" i="1"/>
  <c r="Q1093" i="1"/>
  <c r="P1093" i="1"/>
  <c r="O1093" i="1"/>
  <c r="N1093" i="1"/>
  <c r="M1093" i="1"/>
  <c r="I1093" i="1"/>
  <c r="H1093" i="1"/>
  <c r="F1093" i="1"/>
  <c r="D1093" i="1"/>
  <c r="B1093" i="1"/>
  <c r="A1093" i="1"/>
  <c r="U1092" i="1"/>
  <c r="R1092" i="1"/>
  <c r="Q1092" i="1"/>
  <c r="P1092" i="1"/>
  <c r="O1092" i="1"/>
  <c r="N1092" i="1"/>
  <c r="M1092" i="1"/>
  <c r="I1092" i="1"/>
  <c r="H1092" i="1"/>
  <c r="F1092" i="1"/>
  <c r="E1092" i="1"/>
  <c r="D1092" i="1"/>
  <c r="B1092" i="1"/>
  <c r="A1092" i="1"/>
  <c r="U1091" i="1"/>
  <c r="R1091" i="1"/>
  <c r="Q1091" i="1"/>
  <c r="P1091" i="1"/>
  <c r="O1091" i="1"/>
  <c r="N1091" i="1"/>
  <c r="M1091" i="1"/>
  <c r="I1091" i="1"/>
  <c r="H1091" i="1"/>
  <c r="F1091" i="1"/>
  <c r="D1091" i="1"/>
  <c r="B1091" i="1"/>
  <c r="A1091" i="1"/>
  <c r="U1090" i="1"/>
  <c r="R1090" i="1"/>
  <c r="Q1090" i="1"/>
  <c r="P1090" i="1"/>
  <c r="O1090" i="1"/>
  <c r="N1090" i="1"/>
  <c r="M1090" i="1"/>
  <c r="J1090" i="1"/>
  <c r="I1090" i="1"/>
  <c r="H1090" i="1"/>
  <c r="F1090" i="1"/>
  <c r="D1090" i="1"/>
  <c r="B1090" i="1"/>
  <c r="A1090" i="1"/>
  <c r="U1087" i="1"/>
  <c r="R1087" i="1"/>
  <c r="Q1087" i="1"/>
  <c r="P1087" i="1"/>
  <c r="O1087" i="1"/>
  <c r="N1087" i="1"/>
  <c r="M1087" i="1"/>
  <c r="J1087" i="1"/>
  <c r="I1087" i="1"/>
  <c r="H1087" i="1"/>
  <c r="F1087" i="1"/>
  <c r="D1087" i="1"/>
  <c r="A1087" i="1"/>
  <c r="U1099" i="1"/>
  <c r="R1099" i="1"/>
  <c r="Q1099" i="1"/>
  <c r="P1099" i="1"/>
  <c r="O1099" i="1"/>
  <c r="N1099" i="1"/>
  <c r="M1099" i="1"/>
  <c r="I1099" i="1"/>
  <c r="H1099" i="1"/>
  <c r="F1099" i="1"/>
  <c r="D1099" i="1"/>
  <c r="B1099" i="1"/>
  <c r="A1099" i="1"/>
  <c r="U1127" i="1"/>
  <c r="R1127" i="1"/>
  <c r="Q1127" i="1"/>
  <c r="P1127" i="1"/>
  <c r="O1127" i="1"/>
  <c r="N1127" i="1"/>
  <c r="M1127" i="1"/>
  <c r="I1127" i="1"/>
  <c r="H1127" i="1"/>
  <c r="F1127" i="1"/>
  <c r="D1127" i="1"/>
  <c r="B1127" i="1"/>
  <c r="A1127" i="1"/>
  <c r="U1136" i="1"/>
  <c r="R1136" i="1"/>
  <c r="Q1136" i="1"/>
  <c r="P1136" i="1"/>
  <c r="O1136" i="1"/>
  <c r="N1136" i="1"/>
  <c r="M1136" i="1"/>
  <c r="I1136" i="1"/>
  <c r="H1136" i="1"/>
  <c r="F1136" i="1"/>
  <c r="D1136" i="1"/>
  <c r="B1136" i="1"/>
  <c r="A1136" i="1"/>
  <c r="U1140" i="1"/>
  <c r="R1140" i="1"/>
  <c r="Q1140" i="1"/>
  <c r="P1140" i="1"/>
  <c r="O1140" i="1"/>
  <c r="N1140" i="1"/>
  <c r="M1140" i="1"/>
  <c r="I1140" i="1"/>
  <c r="H1140" i="1"/>
  <c r="F1140" i="1"/>
  <c r="D1140" i="1"/>
  <c r="B1140" i="1"/>
  <c r="A1140" i="1"/>
  <c r="U1130" i="1"/>
  <c r="R1130" i="1"/>
  <c r="Q1130" i="1"/>
  <c r="P1130" i="1"/>
  <c r="O1130" i="1"/>
  <c r="N1130" i="1"/>
  <c r="M1130" i="1"/>
  <c r="I1130" i="1"/>
  <c r="H1130" i="1"/>
  <c r="F1130" i="1"/>
  <c r="D1130" i="1"/>
  <c r="B1130" i="1"/>
  <c r="A1130" i="1"/>
  <c r="U1126" i="1"/>
  <c r="R1126" i="1"/>
  <c r="Q1126" i="1"/>
  <c r="P1126" i="1"/>
  <c r="O1126" i="1"/>
  <c r="N1126" i="1"/>
  <c r="M1126" i="1"/>
  <c r="I1126" i="1"/>
  <c r="H1126" i="1"/>
  <c r="F1126" i="1"/>
  <c r="D1126" i="1"/>
  <c r="B1126" i="1"/>
  <c r="A1126" i="1"/>
  <c r="U1133" i="1"/>
  <c r="R1133" i="1"/>
  <c r="Q1133" i="1"/>
  <c r="P1133" i="1"/>
  <c r="O1133" i="1"/>
  <c r="N1133" i="1"/>
  <c r="M1133" i="1"/>
  <c r="I1133" i="1"/>
  <c r="H1133" i="1"/>
  <c r="F1133" i="1"/>
  <c r="D1133" i="1"/>
  <c r="A1133" i="1"/>
  <c r="U1132" i="1"/>
  <c r="R1132" i="1"/>
  <c r="Q1132" i="1"/>
  <c r="P1132" i="1"/>
  <c r="O1132" i="1"/>
  <c r="N1132" i="1"/>
  <c r="M1132" i="1"/>
  <c r="I1132" i="1"/>
  <c r="H1132" i="1"/>
  <c r="F1132" i="1"/>
  <c r="D1132" i="1"/>
  <c r="A1132" i="1"/>
  <c r="U1179" i="1"/>
  <c r="R1179" i="1"/>
  <c r="Q1179" i="1"/>
  <c r="P1179" i="1"/>
  <c r="O1179" i="1"/>
  <c r="N1179" i="1"/>
  <c r="M1179" i="1"/>
  <c r="I1179" i="1"/>
  <c r="H1179" i="1"/>
  <c r="F1179" i="1"/>
  <c r="D1179" i="1"/>
  <c r="B1179" i="1"/>
  <c r="A1179" i="1"/>
  <c r="U1198" i="1"/>
  <c r="R1198" i="1"/>
  <c r="Q1198" i="1"/>
  <c r="P1198" i="1"/>
  <c r="O1198" i="1"/>
  <c r="N1198" i="1"/>
  <c r="M1198" i="1"/>
  <c r="I1198" i="1"/>
  <c r="H1198" i="1"/>
  <c r="F1198" i="1"/>
  <c r="D1198" i="1"/>
  <c r="B1198" i="1"/>
  <c r="A1198" i="1"/>
  <c r="U1135" i="1"/>
  <c r="R1135" i="1"/>
  <c r="Q1135" i="1"/>
  <c r="P1135" i="1"/>
  <c r="O1135" i="1"/>
  <c r="N1135" i="1"/>
  <c r="M1135" i="1"/>
  <c r="I1135" i="1"/>
  <c r="H1135" i="1"/>
  <c r="F1135" i="1"/>
  <c r="D1135" i="1"/>
  <c r="B1135" i="1"/>
  <c r="A1135" i="1"/>
  <c r="U985" i="1"/>
  <c r="R985" i="1"/>
  <c r="Q985" i="1"/>
  <c r="P985" i="1"/>
  <c r="O985" i="1"/>
  <c r="N985" i="1"/>
  <c r="M985" i="1"/>
  <c r="I985" i="1"/>
  <c r="H985" i="1"/>
  <c r="F985" i="1"/>
  <c r="D985" i="1"/>
  <c r="B985" i="1"/>
  <c r="A985" i="1"/>
  <c r="U1182" i="1"/>
  <c r="R1182" i="1"/>
  <c r="Q1182" i="1"/>
  <c r="P1182" i="1"/>
  <c r="O1182" i="1"/>
  <c r="N1182" i="1"/>
  <c r="M1182" i="1"/>
  <c r="I1182" i="1"/>
  <c r="H1182" i="1"/>
  <c r="F1182" i="1"/>
  <c r="D1182" i="1"/>
  <c r="B1182" i="1"/>
  <c r="A1182" i="1"/>
  <c r="U1174" i="1"/>
  <c r="R1174" i="1"/>
  <c r="Q1174" i="1"/>
  <c r="P1174" i="1"/>
  <c r="O1174" i="1"/>
  <c r="N1174" i="1"/>
  <c r="M1174" i="1"/>
  <c r="I1174" i="1"/>
  <c r="H1174" i="1"/>
  <c r="F1174" i="1"/>
  <c r="D1174" i="1"/>
  <c r="B1174" i="1"/>
  <c r="A1174" i="1"/>
  <c r="U1226" i="1"/>
  <c r="R1226" i="1"/>
  <c r="Q1226" i="1"/>
  <c r="P1226" i="1"/>
  <c r="O1226" i="1"/>
  <c r="N1226" i="1"/>
  <c r="M1226" i="1"/>
  <c r="J1226" i="1"/>
  <c r="I1226" i="1"/>
  <c r="H1226" i="1"/>
  <c r="F1226" i="1"/>
  <c r="D1226" i="1"/>
  <c r="B1226" i="1"/>
  <c r="A1226" i="1"/>
  <c r="U1178" i="1"/>
  <c r="R1178" i="1"/>
  <c r="Q1178" i="1"/>
  <c r="P1178" i="1"/>
  <c r="O1178" i="1"/>
  <c r="N1178" i="1"/>
  <c r="M1178" i="1"/>
  <c r="I1178" i="1"/>
  <c r="H1178" i="1"/>
  <c r="F1178" i="1"/>
  <c r="D1178" i="1"/>
  <c r="B1178" i="1"/>
  <c r="A1178" i="1"/>
  <c r="U1210" i="1"/>
  <c r="R1210" i="1"/>
  <c r="Q1210" i="1"/>
  <c r="P1210" i="1"/>
  <c r="O1210" i="1"/>
  <c r="N1210" i="1"/>
  <c r="M1210" i="1"/>
  <c r="I1210" i="1"/>
  <c r="H1210" i="1"/>
  <c r="F1210" i="1"/>
  <c r="E1210" i="1"/>
  <c r="D1210" i="1"/>
  <c r="B1210" i="1"/>
  <c r="A1210" i="1"/>
  <c r="U1230" i="1"/>
  <c r="R1230" i="1"/>
  <c r="Q1230" i="1"/>
  <c r="P1230" i="1"/>
  <c r="O1230" i="1"/>
  <c r="N1230" i="1"/>
  <c r="M1230" i="1"/>
  <c r="I1230" i="1"/>
  <c r="H1230" i="1"/>
  <c r="F1230" i="1"/>
  <c r="D1230" i="1"/>
  <c r="B1230" i="1"/>
  <c r="A1230" i="1"/>
  <c r="U1259" i="1"/>
  <c r="R1259" i="1"/>
  <c r="Q1259" i="1"/>
  <c r="P1259" i="1"/>
  <c r="O1259" i="1"/>
  <c r="N1259" i="1"/>
  <c r="M1259" i="1"/>
  <c r="J1259" i="1"/>
  <c r="I1259" i="1"/>
  <c r="H1259" i="1"/>
  <c r="F1259" i="1"/>
  <c r="D1259" i="1"/>
  <c r="B1259" i="1"/>
  <c r="A1259" i="1"/>
  <c r="U1229" i="1"/>
  <c r="R1229" i="1"/>
  <c r="Q1229" i="1"/>
  <c r="P1229" i="1"/>
  <c r="O1229" i="1"/>
  <c r="N1229" i="1"/>
  <c r="M1229" i="1"/>
  <c r="I1229" i="1"/>
  <c r="H1229" i="1"/>
  <c r="F1229" i="1"/>
  <c r="D1229" i="1"/>
  <c r="A1229" i="1"/>
  <c r="U1242" i="1"/>
  <c r="R1242" i="1"/>
  <c r="Q1242" i="1"/>
  <c r="P1242" i="1"/>
  <c r="O1242" i="1"/>
  <c r="N1242" i="1"/>
  <c r="M1242" i="1"/>
  <c r="J1242" i="1"/>
  <c r="I1242" i="1"/>
  <c r="H1242" i="1"/>
  <c r="F1242" i="1"/>
  <c r="D1242" i="1"/>
  <c r="B1242" i="1"/>
  <c r="A1242" i="1"/>
  <c r="U1219" i="1"/>
  <c r="R1219" i="1"/>
  <c r="Q1219" i="1"/>
  <c r="P1219" i="1"/>
  <c r="O1219" i="1"/>
  <c r="N1219" i="1"/>
  <c r="M1219" i="1"/>
  <c r="J1219" i="1"/>
  <c r="I1219" i="1"/>
  <c r="H1219" i="1"/>
  <c r="F1219" i="1"/>
  <c r="D1219" i="1"/>
  <c r="B1219" i="1"/>
  <c r="A1219" i="1"/>
  <c r="U1305" i="1"/>
  <c r="R1305" i="1"/>
  <c r="Q1305" i="1"/>
  <c r="P1305" i="1"/>
  <c r="O1305" i="1"/>
  <c r="N1305" i="1"/>
  <c r="M1305" i="1"/>
  <c r="I1305" i="1"/>
  <c r="H1305" i="1"/>
  <c r="F1305" i="1"/>
  <c r="D1305" i="1"/>
  <c r="B1305" i="1"/>
  <c r="A1305" i="1"/>
  <c r="U1302" i="1"/>
  <c r="R1302" i="1"/>
  <c r="Q1302" i="1"/>
  <c r="P1302" i="1"/>
  <c r="O1302" i="1"/>
  <c r="N1302" i="1"/>
  <c r="M1302" i="1"/>
  <c r="I1302" i="1"/>
  <c r="H1302" i="1"/>
  <c r="F1302" i="1"/>
  <c r="D1302" i="1"/>
  <c r="A1302" i="1"/>
  <c r="U1278" i="1"/>
  <c r="R1278" i="1"/>
  <c r="Q1278" i="1"/>
  <c r="P1278" i="1"/>
  <c r="O1278" i="1"/>
  <c r="N1278" i="1"/>
  <c r="M1278" i="1"/>
  <c r="J1278" i="1"/>
  <c r="I1278" i="1"/>
  <c r="H1278" i="1"/>
  <c r="F1278" i="1"/>
  <c r="D1278" i="1"/>
  <c r="B1278" i="1"/>
  <c r="A1278" i="1"/>
  <c r="U1312" i="1"/>
  <c r="R1312" i="1"/>
  <c r="Q1312" i="1"/>
  <c r="P1312" i="1"/>
  <c r="O1312" i="1"/>
  <c r="N1312" i="1"/>
  <c r="M1312" i="1"/>
  <c r="I1312" i="1"/>
  <c r="H1312" i="1"/>
  <c r="F1312" i="1"/>
  <c r="D1312" i="1"/>
  <c r="A1312" i="1"/>
  <c r="U920" i="1"/>
  <c r="R920" i="1"/>
  <c r="Q920" i="1"/>
  <c r="P920" i="1"/>
  <c r="O920" i="1"/>
  <c r="N920" i="1"/>
  <c r="M920" i="1"/>
  <c r="J920" i="1"/>
  <c r="I920" i="1"/>
  <c r="H920" i="1"/>
  <c r="F920" i="1"/>
  <c r="D920" i="1"/>
  <c r="B920" i="1"/>
  <c r="A920" i="1"/>
  <c r="U1326" i="1"/>
  <c r="R1326" i="1"/>
  <c r="Q1326" i="1"/>
  <c r="P1326" i="1"/>
  <c r="O1326" i="1"/>
  <c r="N1326" i="1"/>
  <c r="M1326" i="1"/>
  <c r="I1326" i="1"/>
  <c r="H1326" i="1"/>
  <c r="F1326" i="1"/>
  <c r="D1326" i="1"/>
  <c r="B1326" i="1"/>
  <c r="A1326" i="1"/>
  <c r="U950" i="1"/>
  <c r="R950" i="1"/>
  <c r="Q950" i="1"/>
  <c r="P950" i="1"/>
  <c r="O950" i="1"/>
  <c r="N950" i="1"/>
  <c r="M950" i="1"/>
  <c r="J950" i="1"/>
  <c r="I950" i="1"/>
  <c r="H950" i="1"/>
  <c r="F950" i="1"/>
  <c r="E950" i="1"/>
  <c r="D950" i="1"/>
  <c r="B950" i="1"/>
  <c r="A950" i="1"/>
  <c r="U1332" i="1"/>
  <c r="R1332" i="1"/>
  <c r="Q1332" i="1"/>
  <c r="P1332" i="1"/>
  <c r="O1332" i="1"/>
  <c r="N1332" i="1"/>
  <c r="M1332" i="1"/>
  <c r="J1332" i="1"/>
  <c r="I1332" i="1"/>
  <c r="H1332" i="1"/>
  <c r="F1332" i="1"/>
  <c r="D1332" i="1"/>
  <c r="B1332" i="1"/>
  <c r="A1332" i="1"/>
  <c r="U1331" i="1"/>
  <c r="R1331" i="1"/>
  <c r="Q1331" i="1"/>
  <c r="P1331" i="1"/>
  <c r="O1331" i="1"/>
  <c r="N1331" i="1"/>
  <c r="M1331" i="1"/>
  <c r="I1331" i="1"/>
  <c r="H1331" i="1"/>
  <c r="F1331" i="1"/>
  <c r="D1331" i="1"/>
  <c r="B1331" i="1"/>
  <c r="A1331" i="1"/>
  <c r="U1269" i="1"/>
  <c r="R1269" i="1"/>
  <c r="Q1269" i="1"/>
  <c r="P1269" i="1"/>
  <c r="O1269" i="1"/>
  <c r="N1269" i="1"/>
  <c r="M1269" i="1"/>
  <c r="I1269" i="1"/>
  <c r="H1269" i="1"/>
  <c r="F1269" i="1"/>
  <c r="D1269" i="1"/>
  <c r="B1269" i="1"/>
  <c r="A1269" i="1"/>
  <c r="U1344" i="1"/>
  <c r="R1344" i="1"/>
  <c r="Q1344" i="1"/>
  <c r="P1344" i="1"/>
  <c r="O1344" i="1"/>
  <c r="N1344" i="1"/>
  <c r="M1344" i="1"/>
  <c r="J1344" i="1"/>
  <c r="I1344" i="1"/>
  <c r="H1344" i="1"/>
  <c r="F1344" i="1"/>
  <c r="D1344" i="1"/>
  <c r="B1344" i="1"/>
  <c r="A1344" i="1"/>
  <c r="U1356" i="1"/>
  <c r="R1356" i="1"/>
  <c r="Q1356" i="1"/>
  <c r="P1356" i="1"/>
  <c r="O1356" i="1"/>
  <c r="N1356" i="1"/>
  <c r="M1356" i="1"/>
  <c r="J1356" i="1"/>
  <c r="I1356" i="1"/>
  <c r="H1356" i="1"/>
  <c r="F1356" i="1"/>
  <c r="D1356" i="1"/>
  <c r="B1356" i="1"/>
  <c r="A1356" i="1"/>
  <c r="U1368" i="1"/>
  <c r="R1368" i="1"/>
  <c r="Q1368" i="1"/>
  <c r="P1368" i="1"/>
  <c r="O1368" i="1"/>
  <c r="N1368" i="1"/>
  <c r="M1368" i="1"/>
  <c r="J1368" i="1"/>
  <c r="I1368" i="1"/>
  <c r="H1368" i="1"/>
  <c r="F1368" i="1"/>
  <c r="D1368" i="1"/>
  <c r="B1368" i="1"/>
  <c r="A1368" i="1"/>
  <c r="U1370" i="1"/>
  <c r="R1370" i="1"/>
  <c r="Q1370" i="1"/>
  <c r="P1370" i="1"/>
  <c r="O1370" i="1"/>
  <c r="N1370" i="1"/>
  <c r="M1370" i="1"/>
  <c r="I1370" i="1"/>
  <c r="H1370" i="1"/>
  <c r="F1370" i="1"/>
  <c r="D1370" i="1"/>
  <c r="B1370" i="1"/>
  <c r="A1370" i="1"/>
  <c r="U1372" i="1"/>
  <c r="R1372" i="1"/>
  <c r="Q1372" i="1"/>
  <c r="P1372" i="1"/>
  <c r="O1372" i="1"/>
  <c r="N1372" i="1"/>
  <c r="M1372" i="1"/>
  <c r="I1372" i="1"/>
  <c r="H1372" i="1"/>
  <c r="F1372" i="1"/>
  <c r="D1372" i="1"/>
  <c r="B1372" i="1"/>
  <c r="A1372" i="1"/>
  <c r="U1377" i="1"/>
  <c r="R1377" i="1"/>
  <c r="Q1377" i="1"/>
  <c r="P1377" i="1"/>
  <c r="O1377" i="1"/>
  <c r="N1377" i="1"/>
  <c r="M1377" i="1"/>
  <c r="I1377" i="1"/>
  <c r="H1377" i="1"/>
  <c r="F1377" i="1"/>
  <c r="D1377" i="1"/>
  <c r="B1377" i="1"/>
  <c r="A1377" i="1"/>
  <c r="U1381" i="1"/>
  <c r="R1381" i="1"/>
  <c r="Q1381" i="1"/>
  <c r="P1381" i="1"/>
  <c r="O1381" i="1"/>
  <c r="N1381" i="1"/>
  <c r="M1381" i="1"/>
  <c r="I1381" i="1"/>
  <c r="H1381" i="1"/>
  <c r="F1381" i="1"/>
  <c r="D1381" i="1"/>
  <c r="B1381" i="1"/>
  <c r="A1381" i="1"/>
  <c r="U1400" i="1"/>
  <c r="R1400" i="1"/>
  <c r="Q1400" i="1"/>
  <c r="P1400" i="1"/>
  <c r="O1400" i="1"/>
  <c r="N1400" i="1"/>
  <c r="M1400" i="1"/>
  <c r="J1400" i="1"/>
  <c r="I1400" i="1"/>
  <c r="H1400" i="1"/>
  <c r="F1400" i="1"/>
  <c r="D1400" i="1"/>
  <c r="B1400" i="1"/>
  <c r="A1400" i="1"/>
  <c r="U1403" i="1"/>
  <c r="R1403" i="1"/>
  <c r="Q1403" i="1"/>
  <c r="P1403" i="1"/>
  <c r="O1403" i="1"/>
  <c r="N1403" i="1"/>
  <c r="M1403" i="1"/>
  <c r="I1403" i="1"/>
  <c r="H1403" i="1"/>
  <c r="F1403" i="1"/>
  <c r="E1403" i="1"/>
  <c r="D1403" i="1"/>
  <c r="B1403" i="1"/>
  <c r="A1403" i="1"/>
  <c r="U1402" i="1"/>
  <c r="R1402" i="1"/>
  <c r="Q1402" i="1"/>
  <c r="P1402" i="1"/>
  <c r="O1402" i="1"/>
  <c r="N1402" i="1"/>
  <c r="M1402" i="1"/>
  <c r="I1402" i="1"/>
  <c r="H1402" i="1"/>
  <c r="F1402" i="1"/>
  <c r="D1402" i="1"/>
  <c r="B1402" i="1"/>
  <c r="A1402" i="1"/>
  <c r="U1366" i="1"/>
  <c r="R1366" i="1"/>
  <c r="Q1366" i="1"/>
  <c r="P1366" i="1"/>
  <c r="O1366" i="1"/>
  <c r="N1366" i="1"/>
  <c r="M1366" i="1"/>
  <c r="I1366" i="1"/>
  <c r="H1366" i="1"/>
  <c r="F1366" i="1"/>
  <c r="D1366" i="1"/>
  <c r="B1366" i="1"/>
  <c r="A1366" i="1"/>
  <c r="U1393" i="1"/>
  <c r="R1393" i="1"/>
  <c r="Q1393" i="1"/>
  <c r="P1393" i="1"/>
  <c r="O1393" i="1"/>
  <c r="N1393" i="1"/>
  <c r="M1393" i="1"/>
  <c r="I1393" i="1"/>
  <c r="H1393" i="1"/>
  <c r="F1393" i="1"/>
  <c r="D1393" i="1"/>
  <c r="B1393" i="1"/>
  <c r="A1393" i="1"/>
  <c r="U1349" i="1"/>
  <c r="R1349" i="1"/>
  <c r="Q1349" i="1"/>
  <c r="P1349" i="1"/>
  <c r="O1349" i="1"/>
  <c r="N1349" i="1"/>
  <c r="M1349" i="1"/>
  <c r="I1349" i="1"/>
  <c r="H1349" i="1"/>
  <c r="F1349" i="1"/>
  <c r="D1349" i="1"/>
  <c r="B1349" i="1"/>
  <c r="A1349" i="1"/>
  <c r="U1418" i="1"/>
  <c r="R1418" i="1"/>
  <c r="Q1418" i="1"/>
  <c r="P1418" i="1"/>
  <c r="O1418" i="1"/>
  <c r="N1418" i="1"/>
  <c r="M1418" i="1"/>
  <c r="J1418" i="1"/>
  <c r="I1418" i="1"/>
  <c r="H1418" i="1"/>
  <c r="F1418" i="1"/>
  <c r="D1418" i="1"/>
  <c r="B1418" i="1"/>
  <c r="A1418" i="1"/>
  <c r="U1423" i="1"/>
  <c r="R1423" i="1"/>
  <c r="Q1423" i="1"/>
  <c r="P1423" i="1"/>
  <c r="O1423" i="1"/>
  <c r="N1423" i="1"/>
  <c r="M1423" i="1"/>
  <c r="J1423" i="1"/>
  <c r="I1423" i="1"/>
  <c r="H1423" i="1"/>
  <c r="F1423" i="1"/>
  <c r="D1423" i="1"/>
  <c r="B1423" i="1"/>
  <c r="A1423" i="1"/>
  <c r="U1369" i="1"/>
  <c r="R1369" i="1"/>
  <c r="Q1369" i="1"/>
  <c r="P1369" i="1"/>
  <c r="O1369" i="1"/>
  <c r="N1369" i="1"/>
  <c r="M1369" i="1"/>
  <c r="J1369" i="1"/>
  <c r="I1369" i="1"/>
  <c r="H1369" i="1"/>
  <c r="F1369" i="1"/>
  <c r="D1369" i="1"/>
  <c r="B1369" i="1"/>
  <c r="A1369" i="1"/>
  <c r="U1441" i="1"/>
  <c r="R1441" i="1"/>
  <c r="Q1441" i="1"/>
  <c r="P1441" i="1"/>
  <c r="O1441" i="1"/>
  <c r="N1441" i="1"/>
  <c r="M1441" i="1"/>
  <c r="I1441" i="1"/>
  <c r="H1441" i="1"/>
  <c r="F1441" i="1"/>
  <c r="D1441" i="1"/>
  <c r="A1441" i="1"/>
  <c r="U1392" i="1"/>
  <c r="R1392" i="1"/>
  <c r="Q1392" i="1"/>
  <c r="P1392" i="1"/>
  <c r="O1392" i="1"/>
  <c r="N1392" i="1"/>
  <c r="M1392" i="1"/>
  <c r="I1392" i="1"/>
  <c r="H1392" i="1"/>
  <c r="F1392" i="1"/>
  <c r="D1392" i="1"/>
  <c r="A1392" i="1"/>
  <c r="U1454" i="1"/>
  <c r="R1454" i="1"/>
  <c r="Q1454" i="1"/>
  <c r="P1454" i="1"/>
  <c r="O1454" i="1"/>
  <c r="N1454" i="1"/>
  <c r="M1454" i="1"/>
  <c r="J1454" i="1"/>
  <c r="I1454" i="1"/>
  <c r="H1454" i="1"/>
  <c r="F1454" i="1"/>
  <c r="D1454" i="1"/>
  <c r="B1454" i="1"/>
  <c r="A1454" i="1"/>
  <c r="U1455" i="1"/>
  <c r="R1455" i="1"/>
  <c r="Q1455" i="1"/>
  <c r="P1455" i="1"/>
  <c r="O1455" i="1"/>
  <c r="N1455" i="1"/>
  <c r="M1455" i="1"/>
  <c r="J1455" i="1"/>
  <c r="I1455" i="1"/>
  <c r="H1455" i="1"/>
  <c r="F1455" i="1"/>
  <c r="D1455" i="1"/>
  <c r="B1455" i="1"/>
  <c r="A1455" i="1"/>
  <c r="U1459" i="1"/>
  <c r="R1459" i="1"/>
  <c r="Q1459" i="1"/>
  <c r="P1459" i="1"/>
  <c r="O1459" i="1"/>
  <c r="N1459" i="1"/>
  <c r="M1459" i="1"/>
  <c r="J1459" i="1"/>
  <c r="I1459" i="1"/>
  <c r="H1459" i="1"/>
  <c r="F1459" i="1"/>
  <c r="D1459" i="1"/>
  <c r="B1459" i="1"/>
  <c r="A1459" i="1"/>
  <c r="U1463" i="1"/>
  <c r="R1463" i="1"/>
  <c r="Q1463" i="1"/>
  <c r="P1463" i="1"/>
  <c r="O1463" i="1"/>
  <c r="N1463" i="1"/>
  <c r="M1463" i="1"/>
  <c r="J1463" i="1"/>
  <c r="I1463" i="1"/>
  <c r="H1463" i="1"/>
  <c r="F1463" i="1"/>
  <c r="D1463" i="1"/>
  <c r="B1463" i="1"/>
  <c r="A1463" i="1"/>
  <c r="U1464" i="1"/>
  <c r="R1464" i="1"/>
  <c r="Q1464" i="1"/>
  <c r="P1464" i="1"/>
  <c r="O1464" i="1"/>
  <c r="N1464" i="1"/>
  <c r="M1464" i="1"/>
  <c r="J1464" i="1"/>
  <c r="I1464" i="1"/>
  <c r="H1464" i="1"/>
  <c r="F1464" i="1"/>
  <c r="D1464" i="1"/>
  <c r="B1464" i="1"/>
  <c r="A1464" i="1"/>
  <c r="U1405" i="1"/>
  <c r="R1405" i="1"/>
  <c r="Q1405" i="1"/>
  <c r="P1405" i="1"/>
  <c r="O1405" i="1"/>
  <c r="N1405" i="1"/>
  <c r="M1405" i="1"/>
  <c r="J1405" i="1"/>
  <c r="I1405" i="1"/>
  <c r="H1405" i="1"/>
  <c r="F1405" i="1"/>
  <c r="D1405" i="1"/>
  <c r="B1405" i="1"/>
  <c r="A1405" i="1"/>
  <c r="U1469" i="1"/>
  <c r="R1469" i="1"/>
  <c r="Q1469" i="1"/>
  <c r="P1469" i="1"/>
  <c r="O1469" i="1"/>
  <c r="N1469" i="1"/>
  <c r="M1469" i="1"/>
  <c r="I1469" i="1"/>
  <c r="H1469" i="1"/>
  <c r="F1469" i="1"/>
  <c r="D1469" i="1"/>
  <c r="A1469" i="1"/>
  <c r="U1471" i="1"/>
  <c r="R1471" i="1"/>
  <c r="Q1471" i="1"/>
  <c r="P1471" i="1"/>
  <c r="O1471" i="1"/>
  <c r="N1471" i="1"/>
  <c r="M1471" i="1"/>
  <c r="I1471" i="1"/>
  <c r="H1471" i="1"/>
  <c r="F1471" i="1"/>
  <c r="D1471" i="1"/>
  <c r="B1471" i="1"/>
  <c r="A1471" i="1"/>
  <c r="U1491" i="1"/>
  <c r="R1491" i="1"/>
  <c r="Q1491" i="1"/>
  <c r="P1491" i="1"/>
  <c r="O1491" i="1"/>
  <c r="N1491" i="1"/>
  <c r="M1491" i="1"/>
  <c r="J1491" i="1"/>
  <c r="I1491" i="1"/>
  <c r="H1491" i="1"/>
  <c r="F1491" i="1"/>
  <c r="D1491" i="1"/>
  <c r="B1491" i="1"/>
  <c r="A1491" i="1"/>
  <c r="U1490" i="1"/>
  <c r="R1490" i="1"/>
  <c r="Q1490" i="1"/>
  <c r="P1490" i="1"/>
  <c r="O1490" i="1"/>
  <c r="N1490" i="1"/>
  <c r="M1490" i="1"/>
  <c r="J1490" i="1"/>
  <c r="I1490" i="1"/>
  <c r="H1490" i="1"/>
  <c r="F1490" i="1"/>
  <c r="D1490" i="1"/>
  <c r="B1490" i="1"/>
  <c r="A1490" i="1"/>
  <c r="U1493" i="1"/>
  <c r="R1493" i="1"/>
  <c r="Q1493" i="1"/>
  <c r="P1493" i="1"/>
  <c r="O1493" i="1"/>
  <c r="N1493" i="1"/>
  <c r="M1493" i="1"/>
  <c r="J1493" i="1"/>
  <c r="I1493" i="1"/>
  <c r="H1493" i="1"/>
  <c r="F1493" i="1"/>
  <c r="D1493" i="1"/>
  <c r="B1493" i="1"/>
  <c r="A1493" i="1"/>
  <c r="U1492" i="1"/>
  <c r="R1492" i="1"/>
  <c r="Q1492" i="1"/>
  <c r="P1492" i="1"/>
  <c r="O1492" i="1"/>
  <c r="N1492" i="1"/>
  <c r="M1492" i="1"/>
  <c r="I1492" i="1"/>
  <c r="H1492" i="1"/>
  <c r="F1492" i="1"/>
  <c r="D1492" i="1"/>
  <c r="B1492" i="1"/>
  <c r="A1492" i="1"/>
  <c r="U1496" i="1"/>
  <c r="R1496" i="1"/>
  <c r="Q1496" i="1"/>
  <c r="P1496" i="1"/>
  <c r="O1496" i="1"/>
  <c r="N1496" i="1"/>
  <c r="M1496" i="1"/>
  <c r="J1496" i="1"/>
  <c r="I1496" i="1"/>
  <c r="H1496" i="1"/>
  <c r="F1496" i="1"/>
  <c r="D1496" i="1"/>
  <c r="A1496" i="1"/>
  <c r="U1503" i="1"/>
  <c r="R1503" i="1"/>
  <c r="Q1503" i="1"/>
  <c r="P1503" i="1"/>
  <c r="O1503" i="1"/>
  <c r="N1503" i="1"/>
  <c r="M1503" i="1"/>
  <c r="J1503" i="1"/>
  <c r="I1503" i="1"/>
  <c r="H1503" i="1"/>
  <c r="F1503" i="1"/>
  <c r="D1503" i="1"/>
  <c r="B1503" i="1"/>
  <c r="A1503" i="1"/>
  <c r="U1270" i="1"/>
  <c r="R1270" i="1"/>
  <c r="Q1270" i="1"/>
  <c r="P1270" i="1"/>
  <c r="O1270" i="1"/>
  <c r="N1270" i="1"/>
  <c r="M1270" i="1"/>
  <c r="J1270" i="1"/>
  <c r="I1270" i="1"/>
  <c r="H1270" i="1"/>
  <c r="F1270" i="1"/>
  <c r="D1270" i="1"/>
  <c r="B1270" i="1"/>
  <c r="A1270" i="1"/>
  <c r="U1527" i="1"/>
  <c r="R1527" i="1"/>
  <c r="Q1527" i="1"/>
  <c r="P1527" i="1"/>
  <c r="O1527" i="1"/>
  <c r="N1527" i="1"/>
  <c r="M1527" i="1"/>
  <c r="I1527" i="1"/>
  <c r="H1527" i="1"/>
  <c r="F1527" i="1"/>
  <c r="D1527" i="1"/>
  <c r="A1527" i="1"/>
  <c r="U1526" i="1"/>
  <c r="R1526" i="1"/>
  <c r="Q1526" i="1"/>
  <c r="P1526" i="1"/>
  <c r="O1526" i="1"/>
  <c r="N1526" i="1"/>
  <c r="M1526" i="1"/>
  <c r="K1526" i="1"/>
  <c r="J1526" i="1"/>
  <c r="I1526" i="1"/>
  <c r="H1526" i="1"/>
  <c r="F1526" i="1"/>
  <c r="D1526" i="1"/>
  <c r="B1526" i="1"/>
  <c r="A1526" i="1"/>
  <c r="U1525" i="1"/>
  <c r="R1525" i="1"/>
  <c r="Q1525" i="1"/>
  <c r="P1525" i="1"/>
  <c r="O1525" i="1"/>
  <c r="N1525" i="1"/>
  <c r="M1525" i="1"/>
  <c r="J1525" i="1"/>
  <c r="I1525" i="1"/>
  <c r="H1525" i="1"/>
  <c r="F1525" i="1"/>
  <c r="D1525" i="1"/>
  <c r="B1525" i="1"/>
  <c r="A1525" i="1"/>
  <c r="U1530" i="1"/>
  <c r="R1530" i="1"/>
  <c r="Q1530" i="1"/>
  <c r="P1530" i="1"/>
  <c r="O1530" i="1"/>
  <c r="N1530" i="1"/>
  <c r="M1530" i="1"/>
  <c r="I1530" i="1"/>
  <c r="H1530" i="1"/>
  <c r="F1530" i="1"/>
  <c r="D1530" i="1"/>
  <c r="A1530" i="1"/>
  <c r="U1532" i="1"/>
  <c r="R1532" i="1"/>
  <c r="Q1532" i="1"/>
  <c r="P1532" i="1"/>
  <c r="O1532" i="1"/>
  <c r="N1532" i="1"/>
  <c r="M1532" i="1"/>
  <c r="J1532" i="1"/>
  <c r="I1532" i="1"/>
  <c r="H1532" i="1"/>
  <c r="F1532" i="1"/>
  <c r="D1532" i="1"/>
  <c r="B1532" i="1"/>
  <c r="A1532" i="1"/>
  <c r="U1535" i="1"/>
  <c r="R1535" i="1"/>
  <c r="Q1535" i="1"/>
  <c r="P1535" i="1"/>
  <c r="O1535" i="1"/>
  <c r="N1535" i="1"/>
  <c r="M1535" i="1"/>
  <c r="I1535" i="1"/>
  <c r="H1535" i="1"/>
  <c r="F1535" i="1"/>
  <c r="D1535" i="1"/>
  <c r="A1535" i="1"/>
  <c r="U1534" i="1"/>
  <c r="R1534" i="1"/>
  <c r="Q1534" i="1"/>
  <c r="P1534" i="1"/>
  <c r="O1534" i="1"/>
  <c r="N1534" i="1"/>
  <c r="M1534" i="1"/>
  <c r="J1534" i="1"/>
  <c r="I1534" i="1"/>
  <c r="H1534" i="1"/>
  <c r="F1534" i="1"/>
  <c r="D1534" i="1"/>
  <c r="B1534" i="1"/>
  <c r="A1534" i="1"/>
  <c r="U1537" i="1"/>
  <c r="R1537" i="1"/>
  <c r="Q1537" i="1"/>
  <c r="P1537" i="1"/>
  <c r="O1537" i="1"/>
  <c r="N1537" i="1"/>
  <c r="M1537" i="1"/>
  <c r="J1537" i="1"/>
  <c r="I1537" i="1"/>
  <c r="H1537" i="1"/>
  <c r="F1537" i="1"/>
  <c r="D1537" i="1"/>
  <c r="B1537" i="1"/>
  <c r="A1537" i="1"/>
  <c r="U1547" i="1"/>
  <c r="R1547" i="1"/>
  <c r="Q1547" i="1"/>
  <c r="P1547" i="1"/>
  <c r="O1547" i="1"/>
  <c r="N1547" i="1"/>
  <c r="M1547" i="1"/>
  <c r="I1547" i="1"/>
  <c r="H1547" i="1"/>
  <c r="F1547" i="1"/>
  <c r="D1547" i="1"/>
  <c r="A1547" i="1"/>
  <c r="U1552" i="1"/>
  <c r="R1552" i="1"/>
  <c r="Q1552" i="1"/>
  <c r="P1552" i="1"/>
  <c r="O1552" i="1"/>
  <c r="N1552" i="1"/>
  <c r="M1552" i="1"/>
  <c r="I1552" i="1"/>
  <c r="H1552" i="1"/>
  <c r="F1552" i="1"/>
  <c r="D1552" i="1"/>
  <c r="A1552" i="1"/>
  <c r="U1554" i="1"/>
  <c r="R1554" i="1"/>
  <c r="Q1554" i="1"/>
  <c r="P1554" i="1"/>
  <c r="O1554" i="1"/>
  <c r="N1554" i="1"/>
  <c r="M1554" i="1"/>
  <c r="J1554" i="1"/>
  <c r="I1554" i="1"/>
  <c r="H1554" i="1"/>
  <c r="F1554" i="1"/>
  <c r="D1554" i="1"/>
  <c r="A1554" i="1"/>
  <c r="U1572" i="1"/>
  <c r="R1572" i="1"/>
  <c r="Q1572" i="1"/>
  <c r="P1572" i="1"/>
  <c r="O1572" i="1"/>
  <c r="N1572" i="1"/>
  <c r="M1572" i="1"/>
  <c r="J1572" i="1"/>
  <c r="I1572" i="1"/>
  <c r="H1572" i="1"/>
  <c r="F1572" i="1"/>
  <c r="D1572" i="1"/>
  <c r="B1572" i="1"/>
  <c r="A1572" i="1"/>
  <c r="U1571" i="1"/>
  <c r="R1571" i="1"/>
  <c r="Q1571" i="1"/>
  <c r="P1571" i="1"/>
  <c r="O1571" i="1"/>
  <c r="N1571" i="1"/>
  <c r="M1571" i="1"/>
  <c r="I1571" i="1"/>
  <c r="H1571" i="1"/>
  <c r="F1571" i="1"/>
  <c r="D1571" i="1"/>
  <c r="A1571" i="1"/>
  <c r="U1577" i="1"/>
  <c r="R1577" i="1"/>
  <c r="Q1577" i="1"/>
  <c r="P1577" i="1"/>
  <c r="O1577" i="1"/>
  <c r="N1577" i="1"/>
  <c r="M1577" i="1"/>
  <c r="I1577" i="1"/>
  <c r="H1577" i="1"/>
  <c r="F1577" i="1"/>
  <c r="D1577" i="1"/>
  <c r="B1577" i="1"/>
  <c r="A1577" i="1"/>
  <c r="U1582" i="1"/>
  <c r="R1582" i="1"/>
  <c r="Q1582" i="1"/>
  <c r="P1582" i="1"/>
  <c r="O1582" i="1"/>
  <c r="N1582" i="1"/>
  <c r="M1582" i="1"/>
  <c r="I1582" i="1"/>
  <c r="H1582" i="1"/>
  <c r="F1582" i="1"/>
  <c r="D1582" i="1"/>
  <c r="A1582" i="1"/>
  <c r="U1595" i="1"/>
  <c r="R1595" i="1"/>
  <c r="Q1595" i="1"/>
  <c r="P1595" i="1"/>
  <c r="O1595" i="1"/>
  <c r="N1595" i="1"/>
  <c r="M1595" i="1"/>
  <c r="J1595" i="1"/>
  <c r="I1595" i="1"/>
  <c r="H1595" i="1"/>
  <c r="F1595" i="1"/>
  <c r="D1595" i="1"/>
  <c r="A1595" i="1"/>
  <c r="U1597" i="1"/>
  <c r="R1597" i="1"/>
  <c r="Q1597" i="1"/>
  <c r="P1597" i="1"/>
  <c r="O1597" i="1"/>
  <c r="N1597" i="1"/>
  <c r="M1597" i="1"/>
  <c r="I1597" i="1"/>
  <c r="H1597" i="1"/>
  <c r="F1597" i="1"/>
  <c r="D1597" i="1"/>
  <c r="A1597" i="1"/>
  <c r="U1602" i="1"/>
  <c r="R1602" i="1"/>
  <c r="Q1602" i="1"/>
  <c r="P1602" i="1"/>
  <c r="O1602" i="1"/>
  <c r="N1602" i="1"/>
  <c r="M1602" i="1"/>
  <c r="I1602" i="1"/>
  <c r="H1602" i="1"/>
  <c r="F1602" i="1"/>
  <c r="D1602" i="1"/>
  <c r="A1602" i="1"/>
  <c r="U1601" i="1"/>
  <c r="R1601" i="1"/>
  <c r="Q1601" i="1"/>
  <c r="P1601" i="1"/>
  <c r="O1601" i="1"/>
  <c r="N1601" i="1"/>
  <c r="M1601" i="1"/>
  <c r="I1601" i="1"/>
  <c r="H1601" i="1"/>
  <c r="F1601" i="1"/>
  <c r="D1601" i="1"/>
  <c r="A1601" i="1"/>
  <c r="U1621" i="1"/>
  <c r="R1621" i="1"/>
  <c r="Q1621" i="1"/>
  <c r="P1621" i="1"/>
  <c r="O1621" i="1"/>
  <c r="N1621" i="1"/>
  <c r="M1621" i="1"/>
  <c r="K1621" i="1"/>
  <c r="J1621" i="1"/>
  <c r="I1621" i="1"/>
  <c r="H1621" i="1"/>
  <c r="F1621" i="1"/>
  <c r="D1621" i="1"/>
  <c r="A1621" i="1"/>
  <c r="U1604" i="1"/>
  <c r="R1604" i="1"/>
  <c r="Q1604" i="1"/>
  <c r="P1604" i="1"/>
  <c r="O1604" i="1"/>
  <c r="N1604" i="1"/>
  <c r="M1604" i="1"/>
  <c r="I1604" i="1"/>
  <c r="H1604" i="1"/>
  <c r="F1604" i="1"/>
  <c r="D1604" i="1"/>
  <c r="A1604" i="1"/>
  <c r="U1613" i="1"/>
  <c r="R1613" i="1"/>
  <c r="Q1613" i="1"/>
  <c r="P1613" i="1"/>
  <c r="O1613" i="1"/>
  <c r="N1613" i="1"/>
  <c r="M1613" i="1"/>
  <c r="I1613" i="1"/>
  <c r="H1613" i="1"/>
  <c r="F1613" i="1"/>
  <c r="D1613" i="1"/>
  <c r="A1613" i="1"/>
  <c r="U1628" i="1"/>
  <c r="R1628" i="1"/>
  <c r="Q1628" i="1"/>
  <c r="P1628" i="1"/>
  <c r="O1628" i="1"/>
  <c r="N1628" i="1"/>
  <c r="M1628" i="1"/>
  <c r="I1628" i="1"/>
  <c r="H1628" i="1"/>
  <c r="F1628" i="1"/>
  <c r="D1628" i="1"/>
  <c r="A1628" i="1"/>
  <c r="U1632" i="1"/>
  <c r="R1632" i="1"/>
  <c r="Q1632" i="1"/>
  <c r="P1632" i="1"/>
  <c r="O1632" i="1"/>
  <c r="N1632" i="1"/>
  <c r="M1632" i="1"/>
  <c r="J1632" i="1"/>
  <c r="I1632" i="1"/>
  <c r="H1632" i="1"/>
  <c r="F1632" i="1"/>
  <c r="D1632" i="1"/>
  <c r="B1632" i="1"/>
  <c r="A1632" i="1"/>
  <c r="U1631" i="1"/>
  <c r="R1631" i="1"/>
  <c r="Q1631" i="1"/>
  <c r="P1631" i="1"/>
  <c r="O1631" i="1"/>
  <c r="N1631" i="1"/>
  <c r="M1631" i="1"/>
  <c r="J1631" i="1"/>
  <c r="I1631" i="1"/>
  <c r="H1631" i="1"/>
  <c r="F1631" i="1"/>
  <c r="D1631" i="1"/>
  <c r="A1631" i="1"/>
  <c r="U1641" i="1"/>
  <c r="R1641" i="1"/>
  <c r="Q1641" i="1"/>
  <c r="P1641" i="1"/>
  <c r="O1641" i="1"/>
  <c r="N1641" i="1"/>
  <c r="M1641" i="1"/>
  <c r="I1641" i="1"/>
  <c r="H1641" i="1"/>
  <c r="F1641" i="1"/>
  <c r="D1641" i="1"/>
  <c r="B1641" i="1"/>
  <c r="A1641" i="1"/>
  <c r="U1640" i="1"/>
  <c r="R1640" i="1"/>
  <c r="Q1640" i="1"/>
  <c r="P1640" i="1"/>
  <c r="O1640" i="1"/>
  <c r="N1640" i="1"/>
  <c r="M1640" i="1"/>
  <c r="I1640" i="1"/>
  <c r="H1640" i="1"/>
  <c r="F1640" i="1"/>
  <c r="D1640" i="1"/>
  <c r="B1640" i="1"/>
  <c r="A1640" i="1"/>
  <c r="U1647" i="1"/>
  <c r="R1647" i="1"/>
  <c r="Q1647" i="1"/>
  <c r="P1647" i="1"/>
  <c r="O1647" i="1"/>
  <c r="N1647" i="1"/>
  <c r="M1647" i="1"/>
  <c r="I1647" i="1"/>
  <c r="H1647" i="1"/>
  <c r="F1647" i="1"/>
  <c r="D1647" i="1"/>
  <c r="A1647" i="1"/>
  <c r="U1659" i="1"/>
  <c r="R1659" i="1"/>
  <c r="Q1659" i="1"/>
  <c r="P1659" i="1"/>
  <c r="O1659" i="1"/>
  <c r="N1659" i="1"/>
  <c r="M1659" i="1"/>
  <c r="I1659" i="1"/>
  <c r="H1659" i="1"/>
  <c r="F1659" i="1"/>
  <c r="D1659" i="1"/>
  <c r="B1659" i="1"/>
  <c r="A1659" i="1"/>
  <c r="U1661" i="1"/>
  <c r="R1661" i="1"/>
  <c r="Q1661" i="1"/>
  <c r="P1661" i="1"/>
  <c r="O1661" i="1"/>
  <c r="N1661" i="1"/>
  <c r="M1661" i="1"/>
  <c r="I1661" i="1"/>
  <c r="H1661" i="1"/>
  <c r="F1661" i="1"/>
  <c r="D1661" i="1"/>
  <c r="A1661" i="1"/>
  <c r="U1667" i="1"/>
  <c r="R1667" i="1"/>
  <c r="Q1667" i="1"/>
  <c r="P1667" i="1"/>
  <c r="O1667" i="1"/>
  <c r="N1667" i="1"/>
  <c r="M1667" i="1"/>
  <c r="I1667" i="1"/>
  <c r="H1667" i="1"/>
  <c r="F1667" i="1"/>
  <c r="D1667" i="1"/>
  <c r="B1667" i="1"/>
  <c r="A1667" i="1"/>
  <c r="U1697" i="1"/>
  <c r="R1697" i="1"/>
  <c r="Q1697" i="1"/>
  <c r="P1697" i="1"/>
  <c r="O1697" i="1"/>
  <c r="N1697" i="1"/>
  <c r="M1697" i="1"/>
  <c r="I1697" i="1"/>
  <c r="H1697" i="1"/>
  <c r="F1697" i="1"/>
  <c r="D1697" i="1"/>
  <c r="A1697" i="1"/>
  <c r="U1698" i="1"/>
  <c r="R1698" i="1"/>
  <c r="Q1698" i="1"/>
  <c r="P1698" i="1"/>
  <c r="O1698" i="1"/>
  <c r="N1698" i="1"/>
  <c r="M1698" i="1"/>
  <c r="I1698" i="1"/>
  <c r="H1698" i="1"/>
  <c r="F1698" i="1"/>
  <c r="D1698" i="1"/>
  <c r="A1698" i="1"/>
  <c r="U1702" i="1"/>
  <c r="R1702" i="1"/>
  <c r="Q1702" i="1"/>
  <c r="P1702" i="1"/>
  <c r="O1702" i="1"/>
  <c r="N1702" i="1"/>
  <c r="M1702" i="1"/>
  <c r="I1702" i="1"/>
  <c r="H1702" i="1"/>
  <c r="F1702" i="1"/>
  <c r="D1702" i="1"/>
  <c r="A1702" i="1"/>
  <c r="U1714" i="1"/>
  <c r="R1714" i="1"/>
  <c r="Q1714" i="1"/>
  <c r="P1714" i="1"/>
  <c r="O1714" i="1"/>
  <c r="N1714" i="1"/>
  <c r="M1714" i="1"/>
  <c r="K1714" i="1"/>
  <c r="I1714" i="1"/>
  <c r="H1714" i="1"/>
  <c r="F1714" i="1"/>
  <c r="D1714" i="1"/>
  <c r="A1714" i="1"/>
  <c r="U1733" i="1"/>
  <c r="R1733" i="1"/>
  <c r="Q1733" i="1"/>
  <c r="P1733" i="1"/>
  <c r="O1733" i="1"/>
  <c r="N1733" i="1"/>
  <c r="M1733" i="1"/>
  <c r="I1733" i="1"/>
  <c r="H1733" i="1"/>
  <c r="F1733" i="1"/>
  <c r="D1733" i="1"/>
  <c r="A1733" i="1"/>
  <c r="U1746" i="1"/>
  <c r="R1746" i="1"/>
  <c r="Q1746" i="1"/>
  <c r="P1746" i="1"/>
  <c r="O1746" i="1"/>
  <c r="N1746" i="1"/>
  <c r="M1746" i="1"/>
  <c r="K1746" i="1"/>
  <c r="J1746" i="1"/>
  <c r="I1746" i="1"/>
  <c r="H1746" i="1"/>
  <c r="F1746" i="1"/>
  <c r="D1746" i="1"/>
  <c r="B1746" i="1"/>
  <c r="A1746" i="1"/>
  <c r="U1772" i="1"/>
  <c r="R1772" i="1"/>
  <c r="Q1772" i="1"/>
  <c r="P1772" i="1"/>
  <c r="O1772" i="1"/>
  <c r="N1772" i="1"/>
  <c r="M1772" i="1"/>
  <c r="J1772" i="1"/>
  <c r="I1772" i="1"/>
  <c r="H1772" i="1"/>
  <c r="F1772" i="1"/>
  <c r="D1772" i="1"/>
  <c r="B1772" i="1"/>
  <c r="A1772" i="1"/>
  <c r="U1779" i="1"/>
  <c r="R1779" i="1"/>
  <c r="Q1779" i="1"/>
  <c r="P1779" i="1"/>
  <c r="O1779" i="1"/>
  <c r="N1779" i="1"/>
  <c r="M1779" i="1"/>
  <c r="K1779" i="1"/>
  <c r="J1779" i="1"/>
  <c r="I1779" i="1"/>
  <c r="H1779" i="1"/>
  <c r="F1779" i="1"/>
  <c r="D1779" i="1"/>
  <c r="B1779" i="1"/>
  <c r="A1779" i="1"/>
  <c r="U1786" i="1"/>
  <c r="R1786" i="1"/>
  <c r="Q1786" i="1"/>
  <c r="P1786" i="1"/>
  <c r="O1786" i="1"/>
  <c r="N1786" i="1"/>
  <c r="M1786" i="1"/>
  <c r="K1786" i="1"/>
  <c r="J1786" i="1"/>
  <c r="I1786" i="1"/>
  <c r="H1786" i="1"/>
  <c r="F1786" i="1"/>
  <c r="D1786" i="1"/>
  <c r="B1786" i="1"/>
  <c r="A1786" i="1"/>
  <c r="U1789" i="1"/>
  <c r="R1789" i="1"/>
  <c r="Q1789" i="1"/>
  <c r="P1789" i="1"/>
  <c r="O1789" i="1"/>
  <c r="N1789" i="1"/>
  <c r="M1789" i="1"/>
  <c r="K1789" i="1"/>
  <c r="J1789" i="1"/>
  <c r="I1789" i="1"/>
  <c r="H1789" i="1"/>
  <c r="F1789" i="1"/>
  <c r="D1789" i="1"/>
  <c r="B1789" i="1"/>
  <c r="A1789" i="1"/>
  <c r="U1785" i="1"/>
  <c r="R1785" i="1"/>
  <c r="Q1785" i="1"/>
  <c r="P1785" i="1"/>
  <c r="O1785" i="1"/>
  <c r="N1785" i="1"/>
  <c r="M1785" i="1"/>
  <c r="J1785" i="1"/>
  <c r="I1785" i="1"/>
  <c r="H1785" i="1"/>
  <c r="F1785" i="1"/>
  <c r="D1785" i="1"/>
  <c r="B1785" i="1"/>
  <c r="A1785" i="1"/>
  <c r="U1784" i="1"/>
  <c r="R1784" i="1"/>
  <c r="Q1784" i="1"/>
  <c r="P1784" i="1"/>
  <c r="O1784" i="1"/>
  <c r="N1784" i="1"/>
  <c r="M1784" i="1"/>
  <c r="K1784" i="1"/>
  <c r="J1784" i="1"/>
  <c r="I1784" i="1"/>
  <c r="H1784" i="1"/>
  <c r="F1784" i="1"/>
  <c r="D1784" i="1"/>
  <c r="B1784" i="1"/>
  <c r="A1784" i="1"/>
  <c r="U1791" i="1"/>
  <c r="R1791" i="1"/>
  <c r="Q1791" i="1"/>
  <c r="P1791" i="1"/>
  <c r="O1791" i="1"/>
  <c r="N1791" i="1"/>
  <c r="M1791" i="1"/>
  <c r="K1791" i="1"/>
  <c r="J1791" i="1"/>
  <c r="I1791" i="1"/>
  <c r="H1791" i="1"/>
  <c r="F1791" i="1"/>
  <c r="D1791" i="1"/>
  <c r="B1791" i="1"/>
  <c r="A1791" i="1"/>
  <c r="U1797" i="1"/>
  <c r="R1797" i="1"/>
  <c r="Q1797" i="1"/>
  <c r="P1797" i="1"/>
  <c r="O1797" i="1"/>
  <c r="N1797" i="1"/>
  <c r="M1797" i="1"/>
  <c r="J1797" i="1"/>
  <c r="I1797" i="1"/>
  <c r="H1797" i="1"/>
  <c r="F1797" i="1"/>
  <c r="D1797" i="1"/>
  <c r="A1797" i="1"/>
  <c r="U1795" i="1"/>
  <c r="R1795" i="1"/>
  <c r="Q1795" i="1"/>
  <c r="P1795" i="1"/>
  <c r="O1795" i="1"/>
  <c r="N1795" i="1"/>
  <c r="M1795" i="1"/>
  <c r="K1795" i="1"/>
  <c r="J1795" i="1"/>
  <c r="I1795" i="1"/>
  <c r="H1795" i="1"/>
  <c r="F1795" i="1"/>
  <c r="D1795" i="1"/>
  <c r="A1795" i="1"/>
  <c r="U1796" i="1"/>
  <c r="R1796" i="1"/>
  <c r="Q1796" i="1"/>
  <c r="P1796" i="1"/>
  <c r="O1796" i="1"/>
  <c r="N1796" i="1"/>
  <c r="M1796" i="1"/>
  <c r="J1796" i="1"/>
  <c r="I1796" i="1"/>
  <c r="H1796" i="1"/>
  <c r="F1796" i="1"/>
  <c r="D1796" i="1"/>
  <c r="B1796" i="1"/>
  <c r="A1796" i="1"/>
  <c r="U1798" i="1"/>
  <c r="R1798" i="1"/>
  <c r="Q1798" i="1"/>
  <c r="P1798" i="1"/>
  <c r="O1798" i="1"/>
  <c r="N1798" i="1"/>
  <c r="M1798" i="1"/>
  <c r="J1798" i="1"/>
  <c r="I1798" i="1"/>
  <c r="H1798" i="1"/>
  <c r="F1798" i="1"/>
  <c r="D1798" i="1"/>
  <c r="A1798" i="1"/>
  <c r="U1806" i="1"/>
  <c r="R1806" i="1"/>
  <c r="Q1806" i="1"/>
  <c r="P1806" i="1"/>
  <c r="O1806" i="1"/>
  <c r="N1806" i="1"/>
  <c r="M1806" i="1"/>
  <c r="J1806" i="1"/>
  <c r="I1806" i="1"/>
  <c r="H1806" i="1"/>
  <c r="F1806" i="1"/>
  <c r="D1806" i="1"/>
  <c r="B1806" i="1"/>
  <c r="A1806" i="1"/>
  <c r="U1820" i="1"/>
  <c r="R1820" i="1"/>
  <c r="Q1820" i="1"/>
  <c r="P1820" i="1"/>
  <c r="O1820" i="1"/>
  <c r="N1820" i="1"/>
  <c r="M1820" i="1"/>
  <c r="K1820" i="1"/>
  <c r="J1820" i="1"/>
  <c r="I1820" i="1"/>
  <c r="H1820" i="1"/>
  <c r="F1820" i="1"/>
  <c r="D1820" i="1"/>
  <c r="B1820" i="1"/>
  <c r="A1820" i="1"/>
  <c r="U1824" i="1"/>
  <c r="R1824" i="1"/>
  <c r="Q1824" i="1"/>
  <c r="P1824" i="1"/>
  <c r="O1824" i="1"/>
  <c r="N1824" i="1"/>
  <c r="M1824" i="1"/>
  <c r="K1824" i="1"/>
  <c r="J1824" i="1"/>
  <c r="I1824" i="1"/>
  <c r="H1824" i="1"/>
  <c r="F1824" i="1"/>
  <c r="D1824" i="1"/>
  <c r="A1824" i="1"/>
  <c r="U1813" i="1"/>
  <c r="R1813" i="1"/>
  <c r="Q1813" i="1"/>
  <c r="P1813" i="1"/>
  <c r="O1813" i="1"/>
  <c r="N1813" i="1"/>
  <c r="M1813" i="1"/>
  <c r="I1813" i="1"/>
  <c r="H1813" i="1"/>
  <c r="F1813" i="1"/>
  <c r="D1813" i="1"/>
  <c r="B1813" i="1"/>
  <c r="A1813" i="1"/>
  <c r="U1826" i="1"/>
  <c r="R1826" i="1"/>
  <c r="Q1826" i="1"/>
  <c r="P1826" i="1"/>
  <c r="O1826" i="1"/>
  <c r="N1826" i="1"/>
  <c r="M1826" i="1"/>
  <c r="K1826" i="1"/>
  <c r="J1826" i="1"/>
  <c r="I1826" i="1"/>
  <c r="H1826" i="1"/>
  <c r="F1826" i="1"/>
  <c r="D1826" i="1"/>
  <c r="B1826" i="1"/>
  <c r="A1826" i="1"/>
  <c r="U1825" i="1"/>
  <c r="R1825" i="1"/>
  <c r="Q1825" i="1"/>
  <c r="P1825" i="1"/>
  <c r="O1825" i="1"/>
  <c r="N1825" i="1"/>
  <c r="M1825" i="1"/>
  <c r="J1825" i="1"/>
  <c r="I1825" i="1"/>
  <c r="H1825" i="1"/>
  <c r="F1825" i="1"/>
  <c r="D1825" i="1"/>
  <c r="B1825" i="1"/>
  <c r="A1825" i="1"/>
  <c r="U1828" i="1"/>
  <c r="R1828" i="1"/>
  <c r="Q1828" i="1"/>
  <c r="P1828" i="1"/>
  <c r="O1828" i="1"/>
  <c r="N1828" i="1"/>
  <c r="M1828" i="1"/>
  <c r="K1828" i="1"/>
  <c r="J1828" i="1"/>
  <c r="I1828" i="1"/>
  <c r="H1828" i="1"/>
  <c r="F1828" i="1"/>
  <c r="D1828" i="1"/>
  <c r="B1828" i="1"/>
  <c r="A1828" i="1"/>
  <c r="U1836" i="1"/>
  <c r="R1836" i="1"/>
  <c r="Q1836" i="1"/>
  <c r="P1836" i="1"/>
  <c r="O1836" i="1"/>
  <c r="N1836" i="1"/>
  <c r="M1836" i="1"/>
  <c r="J1836" i="1"/>
  <c r="I1836" i="1"/>
  <c r="H1836" i="1"/>
  <c r="F1836" i="1"/>
  <c r="D1836" i="1"/>
  <c r="A1836" i="1"/>
  <c r="U1842" i="1"/>
  <c r="R1842" i="1"/>
  <c r="Q1842" i="1"/>
  <c r="P1842" i="1"/>
  <c r="O1842" i="1"/>
  <c r="N1842" i="1"/>
  <c r="M1842" i="1"/>
  <c r="J1842" i="1"/>
  <c r="I1842" i="1"/>
  <c r="H1842" i="1"/>
  <c r="F1842" i="1"/>
  <c r="D1842" i="1"/>
  <c r="A1842" i="1"/>
  <c r="U1841" i="1"/>
  <c r="R1841" i="1"/>
  <c r="Q1841" i="1"/>
  <c r="P1841" i="1"/>
  <c r="O1841" i="1"/>
  <c r="N1841" i="1"/>
  <c r="M1841" i="1"/>
  <c r="K1841" i="1"/>
  <c r="J1841" i="1"/>
  <c r="I1841" i="1"/>
  <c r="H1841" i="1"/>
  <c r="F1841" i="1"/>
  <c r="D1841" i="1"/>
  <c r="B1841" i="1"/>
  <c r="A1841" i="1"/>
  <c r="U1849" i="1"/>
  <c r="R1849" i="1"/>
  <c r="Q1849" i="1"/>
  <c r="P1849" i="1"/>
  <c r="O1849" i="1"/>
  <c r="N1849" i="1"/>
  <c r="M1849" i="1"/>
  <c r="K1849" i="1"/>
  <c r="J1849" i="1"/>
  <c r="I1849" i="1"/>
  <c r="H1849" i="1"/>
  <c r="F1849" i="1"/>
  <c r="D1849" i="1"/>
  <c r="B1849" i="1"/>
  <c r="A1849" i="1"/>
  <c r="U1848" i="1"/>
  <c r="R1848" i="1"/>
  <c r="Q1848" i="1"/>
  <c r="P1848" i="1"/>
  <c r="O1848" i="1"/>
  <c r="N1848" i="1"/>
  <c r="M1848" i="1"/>
  <c r="J1848" i="1"/>
  <c r="I1848" i="1"/>
  <c r="H1848" i="1"/>
  <c r="F1848" i="1"/>
  <c r="D1848" i="1"/>
  <c r="B1848" i="1"/>
  <c r="A1848" i="1"/>
  <c r="U1857" i="1"/>
  <c r="R1857" i="1"/>
  <c r="Q1857" i="1"/>
  <c r="P1857" i="1"/>
  <c r="O1857" i="1"/>
  <c r="N1857" i="1"/>
  <c r="M1857" i="1"/>
  <c r="J1857" i="1"/>
  <c r="I1857" i="1"/>
  <c r="H1857" i="1"/>
  <c r="F1857" i="1"/>
  <c r="D1857" i="1"/>
  <c r="A1857" i="1"/>
  <c r="U1860" i="1"/>
  <c r="R1860" i="1"/>
  <c r="Q1860" i="1"/>
  <c r="P1860" i="1"/>
  <c r="O1860" i="1"/>
  <c r="N1860" i="1"/>
  <c r="M1860" i="1"/>
  <c r="K1860" i="1"/>
  <c r="J1860" i="1"/>
  <c r="I1860" i="1"/>
  <c r="H1860" i="1"/>
  <c r="F1860" i="1"/>
  <c r="D1860" i="1"/>
  <c r="A1860" i="1"/>
  <c r="U1883" i="1"/>
  <c r="R1883" i="1"/>
  <c r="Q1883" i="1"/>
  <c r="P1883" i="1"/>
  <c r="O1883" i="1"/>
  <c r="N1883" i="1"/>
  <c r="M1883" i="1"/>
  <c r="J1883" i="1"/>
  <c r="I1883" i="1"/>
  <c r="H1883" i="1"/>
  <c r="F1883" i="1"/>
  <c r="D1883" i="1"/>
  <c r="B1883" i="1"/>
  <c r="A1883" i="1"/>
  <c r="U1876" i="1"/>
  <c r="R1876" i="1"/>
  <c r="Q1876" i="1"/>
  <c r="P1876" i="1"/>
  <c r="O1876" i="1"/>
  <c r="N1876" i="1"/>
  <c r="M1876" i="1"/>
  <c r="J1876" i="1"/>
  <c r="I1876" i="1"/>
  <c r="H1876" i="1"/>
  <c r="F1876" i="1"/>
  <c r="D1876" i="1"/>
  <c r="B1876" i="1"/>
  <c r="A1876" i="1"/>
  <c r="U1952" i="1"/>
  <c r="R1952" i="1"/>
  <c r="Q1952" i="1"/>
  <c r="P1952" i="1"/>
  <c r="O1952" i="1"/>
  <c r="N1952" i="1"/>
  <c r="M1952" i="1"/>
  <c r="J1952" i="1"/>
  <c r="I1952" i="1"/>
  <c r="H1952" i="1"/>
  <c r="F1952" i="1"/>
  <c r="D1952" i="1"/>
  <c r="B1952" i="1"/>
  <c r="A1952" i="1"/>
  <c r="U1913" i="1"/>
  <c r="R1913" i="1"/>
  <c r="Q1913" i="1"/>
  <c r="P1913" i="1"/>
  <c r="O1913" i="1"/>
  <c r="N1913" i="1"/>
  <c r="M1913" i="1"/>
  <c r="K1913" i="1"/>
  <c r="J1913" i="1"/>
  <c r="I1913" i="1"/>
  <c r="H1913" i="1"/>
  <c r="F1913" i="1"/>
  <c r="E1913" i="1"/>
  <c r="D1913" i="1"/>
  <c r="A1913" i="1"/>
  <c r="U1955" i="1"/>
  <c r="R1955" i="1"/>
  <c r="Q1955" i="1"/>
  <c r="P1955" i="1"/>
  <c r="O1955" i="1"/>
  <c r="N1955" i="1"/>
  <c r="M1955" i="1"/>
  <c r="J1955" i="1"/>
  <c r="I1955" i="1"/>
  <c r="H1955" i="1"/>
  <c r="F1955" i="1"/>
  <c r="D1955" i="1"/>
  <c r="B1955" i="1"/>
  <c r="A1955" i="1"/>
  <c r="U1970" i="1"/>
  <c r="R1970" i="1"/>
  <c r="Q1970" i="1"/>
  <c r="P1970" i="1"/>
  <c r="O1970" i="1"/>
  <c r="N1970" i="1"/>
  <c r="M1970" i="1"/>
  <c r="J1970" i="1"/>
  <c r="I1970" i="1"/>
  <c r="H1970" i="1"/>
  <c r="F1970" i="1"/>
  <c r="E1970" i="1"/>
  <c r="D1970" i="1"/>
  <c r="B1970" i="1"/>
  <c r="A1970" i="1"/>
  <c r="U1994" i="1"/>
  <c r="R1994" i="1"/>
  <c r="Q1994" i="1"/>
  <c r="P1994" i="1"/>
  <c r="O1994" i="1"/>
  <c r="N1994" i="1"/>
  <c r="M1994" i="1"/>
  <c r="J1994" i="1"/>
  <c r="I1994" i="1"/>
  <c r="H1994" i="1"/>
  <c r="F1994" i="1"/>
  <c r="D1994" i="1"/>
  <c r="B1994" i="1"/>
  <c r="A1994" i="1"/>
  <c r="U2008" i="1"/>
  <c r="R2008" i="1"/>
  <c r="Q2008" i="1"/>
  <c r="P2008" i="1"/>
  <c r="O2008" i="1"/>
  <c r="N2008" i="1"/>
  <c r="M2008" i="1"/>
  <c r="K2008" i="1"/>
  <c r="J2008" i="1"/>
  <c r="I2008" i="1"/>
  <c r="H2008" i="1"/>
  <c r="F2008" i="1"/>
  <c r="D2008" i="1"/>
  <c r="B2008" i="1"/>
  <c r="A2008" i="1"/>
  <c r="U2014" i="1"/>
  <c r="R2014" i="1"/>
  <c r="Q2014" i="1"/>
  <c r="P2014" i="1"/>
  <c r="O2014" i="1"/>
  <c r="N2014" i="1"/>
  <c r="M2014" i="1"/>
  <c r="J2014" i="1"/>
  <c r="I2014" i="1"/>
  <c r="H2014" i="1"/>
  <c r="F2014" i="1"/>
  <c r="D2014" i="1"/>
  <c r="B2014" i="1"/>
  <c r="A2014" i="1"/>
  <c r="U2015" i="1"/>
  <c r="R2015" i="1"/>
  <c r="Q2015" i="1"/>
  <c r="P2015" i="1"/>
  <c r="O2015" i="1"/>
  <c r="N2015" i="1"/>
  <c r="M2015" i="1"/>
  <c r="K2015" i="1"/>
  <c r="J2015" i="1"/>
  <c r="I2015" i="1"/>
  <c r="H2015" i="1"/>
  <c r="F2015" i="1"/>
  <c r="E2015" i="1"/>
  <c r="D2015" i="1"/>
  <c r="B2015" i="1"/>
  <c r="A2015" i="1"/>
  <c r="U2030" i="1"/>
  <c r="R2030" i="1"/>
  <c r="Q2030" i="1"/>
  <c r="P2030" i="1"/>
  <c r="O2030" i="1"/>
  <c r="N2030" i="1"/>
  <c r="M2030" i="1"/>
  <c r="K2030" i="1"/>
  <c r="J2030" i="1"/>
  <c r="I2030" i="1"/>
  <c r="H2030" i="1"/>
  <c r="F2030" i="1"/>
  <c r="D2030" i="1"/>
  <c r="B2030" i="1"/>
  <c r="A2030" i="1"/>
  <c r="U2029" i="1"/>
  <c r="R2029" i="1"/>
  <c r="Q2029" i="1"/>
  <c r="P2029" i="1"/>
  <c r="O2029" i="1"/>
  <c r="N2029" i="1"/>
  <c r="M2029" i="1"/>
  <c r="J2029" i="1"/>
  <c r="I2029" i="1"/>
  <c r="H2029" i="1"/>
  <c r="F2029" i="1"/>
  <c r="D2029" i="1"/>
  <c r="B2029" i="1"/>
  <c r="A2029" i="1"/>
  <c r="U2046" i="1"/>
  <c r="R2046" i="1"/>
  <c r="Q2046" i="1"/>
  <c r="P2046" i="1"/>
  <c r="O2046" i="1"/>
  <c r="N2046" i="1"/>
  <c r="M2046" i="1"/>
  <c r="K2046" i="1"/>
  <c r="J2046" i="1"/>
  <c r="I2046" i="1"/>
  <c r="H2046" i="1"/>
  <c r="F2046" i="1"/>
  <c r="D2046" i="1"/>
  <c r="B2046" i="1"/>
  <c r="A2046" i="1"/>
  <c r="U2065" i="1"/>
  <c r="R2065" i="1"/>
  <c r="Q2065" i="1"/>
  <c r="P2065" i="1"/>
  <c r="O2065" i="1"/>
  <c r="N2065" i="1"/>
  <c r="M2065" i="1"/>
  <c r="J2065" i="1"/>
  <c r="I2065" i="1"/>
  <c r="H2065" i="1"/>
  <c r="F2065" i="1"/>
  <c r="D2065" i="1"/>
  <c r="B2065" i="1"/>
  <c r="A2065" i="1"/>
  <c r="U2071" i="1"/>
  <c r="R2071" i="1"/>
  <c r="Q2071" i="1"/>
  <c r="P2071" i="1"/>
  <c r="O2071" i="1"/>
  <c r="N2071" i="1"/>
  <c r="M2071" i="1"/>
  <c r="J2071" i="1"/>
  <c r="I2071" i="1"/>
  <c r="H2071" i="1"/>
  <c r="F2071" i="1"/>
  <c r="D2071" i="1"/>
  <c r="B2071" i="1"/>
  <c r="A2071" i="1"/>
  <c r="U2069" i="1"/>
  <c r="R2069" i="1"/>
  <c r="Q2069" i="1"/>
  <c r="P2069" i="1"/>
  <c r="O2069" i="1"/>
  <c r="N2069" i="1"/>
  <c r="M2069" i="1"/>
  <c r="J2069" i="1"/>
  <c r="I2069" i="1"/>
  <c r="H2069" i="1"/>
  <c r="F2069" i="1"/>
  <c r="D2069" i="1"/>
  <c r="B2069" i="1"/>
  <c r="A2069" i="1"/>
  <c r="U2076" i="1"/>
  <c r="R2076" i="1"/>
  <c r="Q2076" i="1"/>
  <c r="P2076" i="1"/>
  <c r="O2076" i="1"/>
  <c r="N2076" i="1"/>
  <c r="M2076" i="1"/>
  <c r="K2076" i="1"/>
  <c r="J2076" i="1"/>
  <c r="I2076" i="1"/>
  <c r="H2076" i="1"/>
  <c r="F2076" i="1"/>
  <c r="D2076" i="1"/>
  <c r="A2076" i="1"/>
  <c r="U2158" i="1"/>
  <c r="R2158" i="1"/>
  <c r="Q2158" i="1"/>
  <c r="P2158" i="1"/>
  <c r="O2158" i="1"/>
  <c r="N2158" i="1"/>
  <c r="M2158" i="1"/>
  <c r="J2158" i="1"/>
  <c r="I2158" i="1"/>
  <c r="H2158" i="1"/>
  <c r="F2158" i="1"/>
  <c r="D2158" i="1"/>
  <c r="B2158" i="1"/>
  <c r="A2158" i="1"/>
  <c r="U2093" i="1"/>
  <c r="R2093" i="1"/>
  <c r="Q2093" i="1"/>
  <c r="P2093" i="1"/>
  <c r="O2093" i="1"/>
  <c r="N2093" i="1"/>
  <c r="M2093" i="1"/>
  <c r="J2093" i="1"/>
  <c r="I2093" i="1"/>
  <c r="H2093" i="1"/>
  <c r="F2093" i="1"/>
  <c r="D2093" i="1"/>
  <c r="A2093" i="1"/>
  <c r="U2049" i="1"/>
  <c r="R2049" i="1"/>
  <c r="Q2049" i="1"/>
  <c r="P2049" i="1"/>
  <c r="O2049" i="1"/>
  <c r="N2049" i="1"/>
  <c r="M2049" i="1"/>
  <c r="K2049" i="1"/>
  <c r="J2049" i="1"/>
  <c r="I2049" i="1"/>
  <c r="H2049" i="1"/>
  <c r="F2049" i="1"/>
  <c r="D2049" i="1"/>
  <c r="B2049" i="1"/>
  <c r="A2049" i="1"/>
  <c r="U2118" i="1"/>
  <c r="R2118" i="1"/>
  <c r="Q2118" i="1"/>
  <c r="P2118" i="1"/>
  <c r="O2118" i="1"/>
  <c r="N2118" i="1"/>
  <c r="M2118" i="1"/>
  <c r="K2118" i="1"/>
  <c r="J2118" i="1"/>
  <c r="I2118" i="1"/>
  <c r="H2118" i="1"/>
  <c r="F2118" i="1"/>
  <c r="D2118" i="1"/>
  <c r="B2118" i="1"/>
  <c r="A2118" i="1"/>
  <c r="U2175" i="1"/>
  <c r="R2175" i="1"/>
  <c r="Q2175" i="1"/>
  <c r="P2175" i="1"/>
  <c r="O2175" i="1"/>
  <c r="N2175" i="1"/>
  <c r="M2175" i="1"/>
  <c r="J2175" i="1"/>
  <c r="I2175" i="1"/>
  <c r="H2175" i="1"/>
  <c r="F2175" i="1"/>
  <c r="D2175" i="1"/>
  <c r="B2175" i="1"/>
  <c r="A2175" i="1"/>
  <c r="U2132" i="1"/>
  <c r="R2132" i="1"/>
  <c r="Q2132" i="1"/>
  <c r="P2132" i="1"/>
  <c r="O2132" i="1"/>
  <c r="N2132" i="1"/>
  <c r="M2132" i="1"/>
  <c r="K2132" i="1"/>
  <c r="J2132" i="1"/>
  <c r="I2132" i="1"/>
  <c r="H2132" i="1"/>
  <c r="F2132" i="1"/>
  <c r="D2132" i="1"/>
  <c r="B2132" i="1"/>
  <c r="A2132" i="1"/>
  <c r="U2327" i="1"/>
  <c r="R2327" i="1"/>
  <c r="Q2327" i="1"/>
  <c r="P2327" i="1"/>
  <c r="O2327" i="1"/>
  <c r="N2327" i="1"/>
  <c r="M2327" i="1"/>
  <c r="K2327" i="1"/>
  <c r="J2327" i="1"/>
  <c r="I2327" i="1"/>
  <c r="H2327" i="1"/>
  <c r="F2327" i="1"/>
  <c r="E2327" i="1"/>
  <c r="D2327" i="1"/>
  <c r="B2327" i="1"/>
  <c r="A2327" i="1"/>
  <c r="U2356" i="1"/>
  <c r="R2356" i="1"/>
  <c r="Q2356" i="1"/>
  <c r="P2356" i="1"/>
  <c r="O2356" i="1"/>
  <c r="N2356" i="1"/>
  <c r="M2356" i="1"/>
  <c r="K2356" i="1"/>
  <c r="J2356" i="1"/>
  <c r="I2356" i="1"/>
  <c r="H2356" i="1"/>
  <c r="F2356" i="1"/>
  <c r="D2356" i="1"/>
  <c r="B2356" i="1"/>
  <c r="A2356" i="1"/>
  <c r="U2117" i="1"/>
  <c r="R2117" i="1"/>
  <c r="Q2117" i="1"/>
  <c r="P2117" i="1"/>
  <c r="O2117" i="1"/>
  <c r="N2117" i="1"/>
  <c r="M2117" i="1"/>
  <c r="J2117" i="1"/>
  <c r="I2117" i="1"/>
  <c r="H2117" i="1"/>
  <c r="F2117" i="1"/>
  <c r="E2117" i="1"/>
  <c r="D2117" i="1"/>
  <c r="B2117" i="1"/>
  <c r="A2117" i="1"/>
  <c r="U2733" i="1"/>
  <c r="R2733" i="1"/>
  <c r="Q2733" i="1"/>
  <c r="P2733" i="1"/>
  <c r="O2733" i="1"/>
  <c r="N2733" i="1"/>
  <c r="M2733" i="1"/>
  <c r="J2733" i="1"/>
  <c r="I2733" i="1"/>
  <c r="H2733" i="1"/>
  <c r="F2733" i="1"/>
  <c r="D2733" i="1"/>
  <c r="B2733" i="1"/>
  <c r="A2733" i="1"/>
  <c r="U3069" i="1"/>
  <c r="R3069" i="1"/>
  <c r="Q3069" i="1"/>
  <c r="P3069" i="1"/>
  <c r="O3069" i="1"/>
  <c r="N3069" i="1"/>
  <c r="M3069" i="1"/>
  <c r="J3069" i="1"/>
  <c r="I3069" i="1"/>
  <c r="H3069" i="1"/>
  <c r="F3069" i="1"/>
  <c r="D3069" i="1"/>
  <c r="B3069" i="1"/>
  <c r="A3069" i="1"/>
  <c r="U2405" i="1"/>
  <c r="R2405" i="1"/>
  <c r="Q2405" i="1"/>
  <c r="P2405" i="1"/>
  <c r="O2405" i="1"/>
  <c r="N2405" i="1"/>
  <c r="M2405" i="1"/>
  <c r="K2405" i="1"/>
  <c r="J2405" i="1"/>
  <c r="I2405" i="1"/>
  <c r="H2405" i="1"/>
  <c r="F2405" i="1"/>
  <c r="D2405" i="1"/>
  <c r="B2405" i="1"/>
  <c r="A2405" i="1"/>
  <c r="U2415" i="1"/>
  <c r="R2415" i="1"/>
  <c r="Q2415" i="1"/>
  <c r="P2415" i="1"/>
  <c r="O2415" i="1"/>
  <c r="N2415" i="1"/>
  <c r="M2415" i="1"/>
  <c r="K2415" i="1"/>
  <c r="J2415" i="1"/>
  <c r="I2415" i="1"/>
  <c r="H2415" i="1"/>
  <c r="F2415" i="1"/>
  <c r="D2415" i="1"/>
  <c r="B2415" i="1"/>
  <c r="A2415" i="1"/>
  <c r="U2948" i="1"/>
  <c r="R2948" i="1"/>
  <c r="Q2948" i="1"/>
  <c r="P2948" i="1"/>
  <c r="O2948" i="1"/>
  <c r="N2948" i="1"/>
  <c r="M2948" i="1"/>
  <c r="K2948" i="1"/>
  <c r="J2948" i="1"/>
  <c r="I2948" i="1"/>
  <c r="H2948" i="1"/>
  <c r="F2948" i="1"/>
  <c r="D2948" i="1"/>
  <c r="B2948" i="1"/>
  <c r="A2948" i="1"/>
  <c r="U3117" i="1"/>
  <c r="R3117" i="1"/>
  <c r="Q3117" i="1"/>
  <c r="P3117" i="1"/>
  <c r="O3117" i="1"/>
  <c r="N3117" i="1"/>
  <c r="M3117" i="1"/>
  <c r="K3117" i="1"/>
  <c r="J3117" i="1"/>
  <c r="I3117" i="1"/>
  <c r="H3117" i="1"/>
  <c r="F3117" i="1"/>
  <c r="D3117" i="1"/>
  <c r="B3117" i="1"/>
  <c r="A3117" i="1"/>
  <c r="U3141" i="1"/>
  <c r="R3141" i="1"/>
  <c r="Q3141" i="1"/>
  <c r="P3141" i="1"/>
  <c r="O3141" i="1"/>
  <c r="N3141" i="1"/>
  <c r="M3141" i="1"/>
  <c r="J3141" i="1"/>
  <c r="I3141" i="1"/>
  <c r="H3141" i="1"/>
  <c r="F3141" i="1"/>
  <c r="D3141" i="1"/>
  <c r="B3141" i="1"/>
  <c r="A3141" i="1"/>
  <c r="U2206" i="1"/>
  <c r="R2206" i="1"/>
  <c r="Q2206" i="1"/>
  <c r="P2206" i="1"/>
  <c r="O2206" i="1"/>
  <c r="N2206" i="1"/>
  <c r="M2206" i="1"/>
  <c r="J2206" i="1"/>
  <c r="I2206" i="1"/>
  <c r="H2206" i="1"/>
  <c r="F2206" i="1"/>
  <c r="D2206" i="1"/>
  <c r="A2206" i="1"/>
  <c r="U2268" i="1"/>
  <c r="R2268" i="1"/>
  <c r="Q2268" i="1"/>
  <c r="P2268" i="1"/>
  <c r="O2268" i="1"/>
  <c r="N2268" i="1"/>
  <c r="M2268" i="1"/>
  <c r="K2268" i="1"/>
  <c r="J2268" i="1"/>
  <c r="I2268" i="1"/>
  <c r="H2268" i="1"/>
  <c r="F2268" i="1"/>
  <c r="D2268" i="1"/>
  <c r="B2268" i="1"/>
  <c r="A2268" i="1"/>
  <c r="U2278" i="1"/>
  <c r="R2278" i="1"/>
  <c r="Q2278" i="1"/>
  <c r="P2278" i="1"/>
  <c r="O2278" i="1"/>
  <c r="N2278" i="1"/>
  <c r="M2278" i="1"/>
  <c r="J2278" i="1"/>
  <c r="I2278" i="1"/>
  <c r="H2278" i="1"/>
  <c r="F2278" i="1"/>
  <c r="D2278" i="1"/>
  <c r="B2278" i="1"/>
  <c r="A2278" i="1"/>
  <c r="U3108" i="1"/>
  <c r="R3108" i="1"/>
  <c r="Q3108" i="1"/>
  <c r="P3108" i="1"/>
  <c r="O3108" i="1"/>
  <c r="N3108" i="1"/>
  <c r="M3108" i="1"/>
  <c r="K3108" i="1"/>
  <c r="J3108" i="1"/>
  <c r="I3108" i="1"/>
  <c r="H3108" i="1"/>
  <c r="F3108" i="1"/>
  <c r="D3108" i="1"/>
  <c r="B3108" i="1"/>
  <c r="A3108" i="1"/>
  <c r="U2742" i="1"/>
  <c r="R2742" i="1"/>
  <c r="Q2742" i="1"/>
  <c r="P2742" i="1"/>
  <c r="O2742" i="1"/>
  <c r="N2742" i="1"/>
  <c r="M2742" i="1"/>
  <c r="K2742" i="1"/>
  <c r="J2742" i="1"/>
  <c r="I2742" i="1"/>
  <c r="H2742" i="1"/>
  <c r="F2742" i="1"/>
  <c r="D2742" i="1"/>
  <c r="B2742" i="1"/>
  <c r="A2742" i="1"/>
  <c r="U2855" i="1"/>
  <c r="R2855" i="1"/>
  <c r="Q2855" i="1"/>
  <c r="P2855" i="1"/>
  <c r="O2855" i="1"/>
  <c r="N2855" i="1"/>
  <c r="M2855" i="1"/>
  <c r="J2855" i="1"/>
  <c r="I2855" i="1"/>
  <c r="H2855" i="1"/>
  <c r="F2855" i="1"/>
  <c r="D2855" i="1"/>
  <c r="B2855" i="1"/>
  <c r="A2855" i="1"/>
  <c r="U2860" i="1"/>
  <c r="R2860" i="1"/>
  <c r="Q2860" i="1"/>
  <c r="P2860" i="1"/>
  <c r="O2860" i="1"/>
  <c r="N2860" i="1"/>
  <c r="M2860" i="1"/>
  <c r="K2860" i="1"/>
  <c r="J2860" i="1"/>
  <c r="I2860" i="1"/>
  <c r="H2860" i="1"/>
  <c r="F2860" i="1"/>
  <c r="D2860" i="1"/>
  <c r="B2860" i="1"/>
  <c r="A2860" i="1"/>
  <c r="U2875" i="1"/>
  <c r="R2875" i="1"/>
  <c r="Q2875" i="1"/>
  <c r="P2875" i="1"/>
  <c r="O2875" i="1"/>
  <c r="N2875" i="1"/>
  <c r="M2875" i="1"/>
  <c r="K2875" i="1"/>
  <c r="J2875" i="1"/>
  <c r="I2875" i="1"/>
  <c r="H2875" i="1"/>
  <c r="F2875" i="1"/>
  <c r="E2875" i="1"/>
  <c r="D2875" i="1"/>
  <c r="B2875" i="1"/>
  <c r="A2875" i="1"/>
  <c r="U1925" i="1"/>
  <c r="R1925" i="1"/>
  <c r="Q1925" i="1"/>
  <c r="P1925" i="1"/>
  <c r="O1925" i="1"/>
  <c r="N1925" i="1"/>
  <c r="M1925" i="1"/>
  <c r="K1925" i="1"/>
  <c r="J1925" i="1"/>
  <c r="I1925" i="1"/>
  <c r="H1925" i="1"/>
  <c r="F1925" i="1"/>
  <c r="D1925" i="1"/>
  <c r="B1925" i="1"/>
  <c r="A1925" i="1"/>
  <c r="U2935" i="1"/>
  <c r="R2935" i="1"/>
  <c r="Q2935" i="1"/>
  <c r="P2935" i="1"/>
  <c r="O2935" i="1"/>
  <c r="N2935" i="1"/>
  <c r="M2935" i="1"/>
  <c r="K2935" i="1"/>
  <c r="J2935" i="1"/>
  <c r="I2935" i="1"/>
  <c r="H2935" i="1"/>
  <c r="F2935" i="1"/>
  <c r="D2935" i="1"/>
  <c r="B2935" i="1"/>
  <c r="A2935" i="1"/>
  <c r="U2946" i="1"/>
  <c r="R2946" i="1"/>
  <c r="Q2946" i="1"/>
  <c r="P2946" i="1"/>
  <c r="O2946" i="1"/>
  <c r="N2946" i="1"/>
  <c r="M2946" i="1"/>
  <c r="K2946" i="1"/>
  <c r="J2946" i="1"/>
  <c r="I2946" i="1"/>
  <c r="H2946" i="1"/>
  <c r="F2946" i="1"/>
  <c r="D2946" i="1"/>
  <c r="B2946" i="1"/>
  <c r="A2946" i="1"/>
  <c r="U2970" i="1"/>
  <c r="R2970" i="1"/>
  <c r="Q2970" i="1"/>
  <c r="P2970" i="1"/>
  <c r="O2970" i="1"/>
  <c r="N2970" i="1"/>
  <c r="M2970" i="1"/>
  <c r="K2970" i="1"/>
  <c r="J2970" i="1"/>
  <c r="I2970" i="1"/>
  <c r="H2970" i="1"/>
  <c r="F2970" i="1"/>
  <c r="E2970" i="1"/>
  <c r="D2970" i="1"/>
  <c r="B2970" i="1"/>
  <c r="A2970" i="1"/>
  <c r="U2977" i="1"/>
  <c r="R2977" i="1"/>
  <c r="Q2977" i="1"/>
  <c r="P2977" i="1"/>
  <c r="O2977" i="1"/>
  <c r="N2977" i="1"/>
  <c r="M2977" i="1"/>
  <c r="K2977" i="1"/>
  <c r="J2977" i="1"/>
  <c r="I2977" i="1"/>
  <c r="H2977" i="1"/>
  <c r="F2977" i="1"/>
  <c r="D2977" i="1"/>
  <c r="B2977" i="1"/>
  <c r="A2977" i="1"/>
  <c r="U3027" i="1"/>
  <c r="R3027" i="1"/>
  <c r="Q3027" i="1"/>
  <c r="P3027" i="1"/>
  <c r="O3027" i="1"/>
  <c r="N3027" i="1"/>
  <c r="M3027" i="1"/>
  <c r="K3027" i="1"/>
  <c r="J3027" i="1"/>
  <c r="I3027" i="1"/>
  <c r="H3027" i="1"/>
  <c r="F3027" i="1"/>
  <c r="D3027" i="1"/>
  <c r="B3027" i="1"/>
  <c r="A3027" i="1"/>
  <c r="U3091" i="1"/>
  <c r="R3091" i="1"/>
  <c r="Q3091" i="1"/>
  <c r="P3091" i="1"/>
  <c r="O3091" i="1"/>
  <c r="N3091" i="1"/>
  <c r="M3091" i="1"/>
  <c r="K3091" i="1"/>
  <c r="J3091" i="1"/>
  <c r="I3091" i="1"/>
  <c r="H3091" i="1"/>
  <c r="F3091" i="1"/>
  <c r="D3091" i="1"/>
  <c r="B3091" i="1"/>
  <c r="A3091" i="1"/>
  <c r="U3035" i="1"/>
  <c r="R3035" i="1"/>
  <c r="Q3035" i="1"/>
  <c r="P3035" i="1"/>
  <c r="O3035" i="1"/>
  <c r="N3035" i="1"/>
  <c r="M3035" i="1"/>
  <c r="J3035" i="1"/>
  <c r="I3035" i="1"/>
  <c r="H3035" i="1"/>
  <c r="F3035" i="1"/>
  <c r="D3035" i="1"/>
  <c r="B3035" i="1"/>
  <c r="A3035" i="1"/>
  <c r="U3058" i="1"/>
  <c r="R3058" i="1"/>
  <c r="Q3058" i="1"/>
  <c r="P3058" i="1"/>
  <c r="O3058" i="1"/>
  <c r="N3058" i="1"/>
  <c r="M3058" i="1"/>
  <c r="K3058" i="1"/>
  <c r="J3058" i="1"/>
  <c r="I3058" i="1"/>
  <c r="H3058" i="1"/>
  <c r="F3058" i="1"/>
  <c r="D3058" i="1"/>
  <c r="B3058" i="1"/>
  <c r="A3058" i="1"/>
  <c r="U3004" i="1"/>
  <c r="R3004" i="1"/>
  <c r="Q3004" i="1"/>
  <c r="P3004" i="1"/>
  <c r="O3004" i="1"/>
  <c r="N3004" i="1"/>
  <c r="M3004" i="1"/>
  <c r="K3004" i="1"/>
  <c r="J3004" i="1"/>
  <c r="I3004" i="1"/>
  <c r="H3004" i="1"/>
  <c r="F3004" i="1"/>
  <c r="D3004" i="1"/>
  <c r="B3004" i="1"/>
  <c r="A3004" i="1"/>
  <c r="U3090" i="1"/>
  <c r="R3090" i="1"/>
  <c r="Q3090" i="1"/>
  <c r="P3090" i="1"/>
  <c r="O3090" i="1"/>
  <c r="N3090" i="1"/>
  <c r="M3090" i="1"/>
  <c r="K3090" i="1"/>
  <c r="J3090" i="1"/>
  <c r="I3090" i="1"/>
  <c r="H3090" i="1"/>
  <c r="F3090" i="1"/>
  <c r="D3090" i="1"/>
  <c r="B3090" i="1"/>
  <c r="A3090" i="1"/>
  <c r="U3089" i="1"/>
  <c r="R3089" i="1"/>
  <c r="Q3089" i="1"/>
  <c r="P3089" i="1"/>
  <c r="O3089" i="1"/>
  <c r="N3089" i="1"/>
  <c r="M3089" i="1"/>
  <c r="K3089" i="1"/>
  <c r="J3089" i="1"/>
  <c r="I3089" i="1"/>
  <c r="H3089" i="1"/>
  <c r="F3089" i="1"/>
  <c r="D3089" i="1"/>
  <c r="B3089" i="1"/>
  <c r="A3089" i="1"/>
  <c r="U3074" i="1"/>
  <c r="R3074" i="1"/>
  <c r="Q3074" i="1"/>
  <c r="P3074" i="1"/>
  <c r="O3074" i="1"/>
  <c r="N3074" i="1"/>
  <c r="M3074" i="1"/>
  <c r="K3074" i="1"/>
  <c r="J3074" i="1"/>
  <c r="I3074" i="1"/>
  <c r="H3074" i="1"/>
  <c r="F3074" i="1"/>
  <c r="D3074" i="1"/>
  <c r="A3074" i="1"/>
  <c r="U3073" i="1"/>
  <c r="R3073" i="1"/>
  <c r="Q3073" i="1"/>
  <c r="P3073" i="1"/>
  <c r="O3073" i="1"/>
  <c r="N3073" i="1"/>
  <c r="M3073" i="1"/>
  <c r="J3073" i="1"/>
  <c r="I3073" i="1"/>
  <c r="H3073" i="1"/>
  <c r="F3073" i="1"/>
  <c r="E3073" i="1"/>
  <c r="D3073" i="1"/>
  <c r="B3073" i="1"/>
  <c r="A3073" i="1"/>
  <c r="U3088" i="1"/>
  <c r="R3088" i="1"/>
  <c r="Q3088" i="1"/>
  <c r="P3088" i="1"/>
  <c r="O3088" i="1"/>
  <c r="N3088" i="1"/>
  <c r="M3088" i="1"/>
  <c r="K3088" i="1"/>
  <c r="J3088" i="1"/>
  <c r="I3088" i="1"/>
  <c r="H3088" i="1"/>
  <c r="F3088" i="1"/>
  <c r="D3088" i="1"/>
  <c r="B3088" i="1"/>
  <c r="A3088" i="1"/>
  <c r="U3087" i="1"/>
  <c r="R3087" i="1"/>
  <c r="Q3087" i="1"/>
  <c r="P3087" i="1"/>
  <c r="O3087" i="1"/>
  <c r="N3087" i="1"/>
  <c r="M3087" i="1"/>
  <c r="K3087" i="1"/>
  <c r="J3087" i="1"/>
  <c r="I3087" i="1"/>
  <c r="H3087" i="1"/>
  <c r="F3087" i="1"/>
  <c r="D3087" i="1"/>
  <c r="B3087" i="1"/>
  <c r="A3087" i="1"/>
  <c r="U3072" i="1"/>
  <c r="R3072" i="1"/>
  <c r="Q3072" i="1"/>
  <c r="P3072" i="1"/>
  <c r="O3072" i="1"/>
  <c r="N3072" i="1"/>
  <c r="M3072" i="1"/>
  <c r="K3072" i="1"/>
  <c r="J3072" i="1"/>
  <c r="I3072" i="1"/>
  <c r="H3072" i="1"/>
  <c r="F3072" i="1"/>
  <c r="E3072" i="1"/>
  <c r="D3072" i="1"/>
  <c r="B3072" i="1"/>
  <c r="A3072" i="1"/>
  <c r="U3086" i="1"/>
  <c r="R3086" i="1"/>
  <c r="Q3086" i="1"/>
  <c r="P3086" i="1"/>
  <c r="O3086" i="1"/>
  <c r="N3086" i="1"/>
  <c r="M3086" i="1"/>
  <c r="K3086" i="1"/>
  <c r="J3086" i="1"/>
  <c r="I3086" i="1"/>
  <c r="H3086" i="1"/>
  <c r="F3086" i="1"/>
  <c r="E3086" i="1"/>
  <c r="D3086" i="1"/>
  <c r="B3086" i="1"/>
  <c r="A3086" i="1"/>
  <c r="U3085" i="1"/>
  <c r="R3085" i="1"/>
  <c r="Q3085" i="1"/>
  <c r="P3085" i="1"/>
  <c r="O3085" i="1"/>
  <c r="N3085" i="1"/>
  <c r="M3085" i="1"/>
  <c r="K3085" i="1"/>
  <c r="J3085" i="1"/>
  <c r="I3085" i="1"/>
  <c r="H3085" i="1"/>
  <c r="F3085" i="1"/>
  <c r="D3085" i="1"/>
  <c r="B3085" i="1"/>
  <c r="A3085" i="1"/>
  <c r="U3084" i="1"/>
  <c r="R3084" i="1"/>
  <c r="Q3084" i="1"/>
  <c r="P3084" i="1"/>
  <c r="O3084" i="1"/>
  <c r="N3084" i="1"/>
  <c r="M3084" i="1"/>
  <c r="K3084" i="1"/>
  <c r="J3084" i="1"/>
  <c r="I3084" i="1"/>
  <c r="H3084" i="1"/>
  <c r="F3084" i="1"/>
  <c r="D3084" i="1"/>
  <c r="B3084" i="1"/>
  <c r="A3084" i="1"/>
  <c r="U3083" i="1"/>
  <c r="R3083" i="1"/>
  <c r="Q3083" i="1"/>
  <c r="P3083" i="1"/>
  <c r="O3083" i="1"/>
  <c r="N3083" i="1"/>
  <c r="M3083" i="1"/>
  <c r="K3083" i="1"/>
  <c r="J3083" i="1"/>
  <c r="I3083" i="1"/>
  <c r="H3083" i="1"/>
  <c r="F3083" i="1"/>
  <c r="D3083" i="1"/>
  <c r="B3083" i="1"/>
  <c r="A3083" i="1"/>
  <c r="U3046" i="1"/>
  <c r="R3046" i="1"/>
  <c r="Q3046" i="1"/>
  <c r="P3046" i="1"/>
  <c r="O3046" i="1"/>
  <c r="N3046" i="1"/>
  <c r="M3046" i="1"/>
  <c r="K3046" i="1"/>
  <c r="J3046" i="1"/>
  <c r="I3046" i="1"/>
  <c r="H3046" i="1"/>
  <c r="F3046" i="1"/>
  <c r="D3046" i="1"/>
  <c r="B3046" i="1"/>
  <c r="A3046" i="1"/>
  <c r="U3113" i="1"/>
  <c r="R3113" i="1"/>
  <c r="Q3113" i="1"/>
  <c r="P3113" i="1"/>
  <c r="O3113" i="1"/>
  <c r="N3113" i="1"/>
  <c r="M3113" i="1"/>
  <c r="J3113" i="1"/>
  <c r="I3113" i="1"/>
  <c r="H3113" i="1"/>
  <c r="F3113" i="1"/>
  <c r="D3113" i="1"/>
  <c r="B3113" i="1"/>
  <c r="A3113" i="1"/>
  <c r="U3082" i="1"/>
  <c r="R3082" i="1"/>
  <c r="Q3082" i="1"/>
  <c r="P3082" i="1"/>
  <c r="O3082" i="1"/>
  <c r="N3082" i="1"/>
  <c r="M3082" i="1"/>
  <c r="K3082" i="1"/>
  <c r="J3082" i="1"/>
  <c r="I3082" i="1"/>
  <c r="H3082" i="1"/>
  <c r="F3082" i="1"/>
  <c r="D3082" i="1"/>
  <c r="B3082" i="1"/>
  <c r="A3082" i="1"/>
  <c r="U3081" i="1"/>
  <c r="R3081" i="1"/>
  <c r="Q3081" i="1"/>
  <c r="P3081" i="1"/>
  <c r="O3081" i="1"/>
  <c r="N3081" i="1"/>
  <c r="M3081" i="1"/>
  <c r="K3081" i="1"/>
  <c r="J3081" i="1"/>
  <c r="I3081" i="1"/>
  <c r="H3081" i="1"/>
  <c r="F3081" i="1"/>
  <c r="E3081" i="1"/>
  <c r="D3081" i="1"/>
  <c r="B3081" i="1"/>
  <c r="A3081" i="1"/>
  <c r="U3112" i="1"/>
  <c r="R3112" i="1"/>
  <c r="Q3112" i="1"/>
  <c r="P3112" i="1"/>
  <c r="O3112" i="1"/>
  <c r="N3112" i="1"/>
  <c r="M3112" i="1"/>
  <c r="J3112" i="1"/>
  <c r="I3112" i="1"/>
  <c r="H3112" i="1"/>
  <c r="F3112" i="1"/>
  <c r="D3112" i="1"/>
  <c r="B3112" i="1"/>
  <c r="A3112" i="1"/>
  <c r="U3080" i="1"/>
  <c r="R3080" i="1"/>
  <c r="Q3080" i="1"/>
  <c r="P3080" i="1"/>
  <c r="O3080" i="1"/>
  <c r="N3080" i="1"/>
  <c r="M3080" i="1"/>
  <c r="K3080" i="1"/>
  <c r="J3080" i="1"/>
  <c r="I3080" i="1"/>
  <c r="H3080" i="1"/>
  <c r="F3080" i="1"/>
  <c r="D3080" i="1"/>
  <c r="B3080" i="1"/>
  <c r="A3080" i="1"/>
  <c r="U3079" i="1"/>
  <c r="R3079" i="1"/>
  <c r="Q3079" i="1"/>
  <c r="P3079" i="1"/>
  <c r="O3079" i="1"/>
  <c r="N3079" i="1"/>
  <c r="M3079" i="1"/>
  <c r="K3079" i="1"/>
  <c r="J3079" i="1"/>
  <c r="I3079" i="1"/>
  <c r="H3079" i="1"/>
  <c r="F3079" i="1"/>
  <c r="D3079" i="1"/>
  <c r="B3079" i="1"/>
  <c r="A3079" i="1"/>
  <c r="U3071" i="1"/>
  <c r="R3071" i="1"/>
  <c r="Q3071" i="1"/>
  <c r="P3071" i="1"/>
  <c r="O3071" i="1"/>
  <c r="N3071" i="1"/>
  <c r="M3071" i="1"/>
  <c r="K3071" i="1"/>
  <c r="J3071" i="1"/>
  <c r="I3071" i="1"/>
  <c r="H3071" i="1"/>
  <c r="F3071" i="1"/>
  <c r="D3071" i="1"/>
  <c r="B3071" i="1"/>
  <c r="A3071" i="1"/>
  <c r="U3111" i="1"/>
  <c r="R3111" i="1"/>
  <c r="Q3111" i="1"/>
  <c r="P3111" i="1"/>
  <c r="O3111" i="1"/>
  <c r="N3111" i="1"/>
  <c r="M3111" i="1"/>
  <c r="K3111" i="1"/>
  <c r="J3111" i="1"/>
  <c r="I3111" i="1"/>
  <c r="H3111" i="1"/>
  <c r="F3111" i="1"/>
  <c r="E3111" i="1"/>
  <c r="D3111" i="1"/>
  <c r="B3111" i="1"/>
  <c r="A3111" i="1"/>
  <c r="U3055" i="1"/>
  <c r="R3055" i="1"/>
  <c r="Q3055" i="1"/>
  <c r="P3055" i="1"/>
  <c r="O3055" i="1"/>
  <c r="N3055" i="1"/>
  <c r="M3055" i="1"/>
  <c r="J3055" i="1"/>
  <c r="I3055" i="1"/>
  <c r="H3055" i="1"/>
  <c r="F3055" i="1"/>
  <c r="E3055" i="1"/>
  <c r="D3055" i="1"/>
  <c r="B3055" i="1"/>
  <c r="A3055" i="1"/>
  <c r="U1924" i="1"/>
  <c r="R1924" i="1"/>
  <c r="Q1924" i="1"/>
  <c r="P1924" i="1"/>
  <c r="O1924" i="1"/>
  <c r="N1924" i="1"/>
  <c r="M1924" i="1"/>
  <c r="K1924" i="1"/>
  <c r="J1924" i="1"/>
  <c r="I1924" i="1"/>
  <c r="H1924" i="1"/>
  <c r="F1924" i="1"/>
  <c r="D1924" i="1"/>
  <c r="B1924" i="1"/>
  <c r="A1924" i="1"/>
  <c r="U2427" i="1"/>
  <c r="R2427" i="1"/>
  <c r="Q2427" i="1"/>
  <c r="P2427" i="1"/>
  <c r="O2427" i="1"/>
  <c r="N2427" i="1"/>
  <c r="M2427" i="1"/>
  <c r="K2427" i="1"/>
  <c r="J2427" i="1"/>
  <c r="I2427" i="1"/>
  <c r="H2427" i="1"/>
  <c r="F2427" i="1"/>
  <c r="D2427" i="1"/>
  <c r="B2427" i="1"/>
  <c r="A2427" i="1"/>
  <c r="U2430" i="1"/>
  <c r="R2430" i="1"/>
  <c r="Q2430" i="1"/>
  <c r="P2430" i="1"/>
  <c r="O2430" i="1"/>
  <c r="N2430" i="1"/>
  <c r="M2430" i="1"/>
  <c r="J2430" i="1"/>
  <c r="I2430" i="1"/>
  <c r="H2430" i="1"/>
  <c r="F2430" i="1"/>
  <c r="E2430" i="1"/>
  <c r="D2430" i="1"/>
  <c r="B2430" i="1"/>
  <c r="A2430" i="1"/>
  <c r="U2431" i="1"/>
  <c r="R2431" i="1"/>
  <c r="Q2431" i="1"/>
  <c r="P2431" i="1"/>
  <c r="O2431" i="1"/>
  <c r="N2431" i="1"/>
  <c r="M2431" i="1"/>
  <c r="K2431" i="1"/>
  <c r="J2431" i="1"/>
  <c r="I2431" i="1"/>
  <c r="H2431" i="1"/>
  <c r="F2431" i="1"/>
  <c r="D2431" i="1"/>
  <c r="B2431" i="1"/>
  <c r="A2431" i="1"/>
  <c r="U2468" i="1"/>
  <c r="R2468" i="1"/>
  <c r="Q2468" i="1"/>
  <c r="P2468" i="1"/>
  <c r="O2468" i="1"/>
  <c r="N2468" i="1"/>
  <c r="M2468" i="1"/>
  <c r="K2468" i="1"/>
  <c r="J2468" i="1"/>
  <c r="I2468" i="1"/>
  <c r="H2468" i="1"/>
  <c r="F2468" i="1"/>
  <c r="D2468" i="1"/>
  <c r="B2468" i="1"/>
  <c r="A2468" i="1"/>
  <c r="U2512" i="1"/>
  <c r="R2512" i="1"/>
  <c r="Q2512" i="1"/>
  <c r="P2512" i="1"/>
  <c r="O2512" i="1"/>
  <c r="N2512" i="1"/>
  <c r="M2512" i="1"/>
  <c r="K2512" i="1"/>
  <c r="J2512" i="1"/>
  <c r="I2512" i="1"/>
  <c r="H2512" i="1"/>
  <c r="F2512" i="1"/>
  <c r="D2512" i="1"/>
  <c r="B2512" i="1"/>
  <c r="A2512" i="1"/>
  <c r="U2321" i="1"/>
  <c r="R2321" i="1"/>
  <c r="Q2321" i="1"/>
  <c r="P2321" i="1"/>
  <c r="O2321" i="1"/>
  <c r="N2321" i="1"/>
  <c r="M2321" i="1"/>
  <c r="K2321" i="1"/>
  <c r="J2321" i="1"/>
  <c r="I2321" i="1"/>
  <c r="H2321" i="1"/>
  <c r="G2321" i="1"/>
  <c r="F2321" i="1"/>
  <c r="E2321" i="1"/>
  <c r="D2321" i="1"/>
  <c r="A2321" i="1"/>
  <c r="U2284" i="1"/>
  <c r="R2284" i="1"/>
  <c r="Q2284" i="1"/>
  <c r="P2284" i="1"/>
  <c r="O2284" i="1"/>
  <c r="N2284" i="1"/>
  <c r="M2284" i="1"/>
  <c r="K2284" i="1"/>
  <c r="J2284" i="1"/>
  <c r="I2284" i="1"/>
  <c r="H2284" i="1"/>
  <c r="F2284" i="1"/>
  <c r="D2284" i="1"/>
  <c r="B2284" i="1"/>
  <c r="A2284" i="1"/>
  <c r="U1900" i="1"/>
  <c r="R1900" i="1"/>
  <c r="Q1900" i="1"/>
  <c r="P1900" i="1"/>
  <c r="O1900" i="1"/>
  <c r="N1900" i="1"/>
  <c r="M1900" i="1"/>
  <c r="J1900" i="1"/>
  <c r="I1900" i="1"/>
  <c r="H1900" i="1"/>
  <c r="F1900" i="1"/>
  <c r="D1900" i="1"/>
  <c r="B1900" i="1"/>
  <c r="A1900" i="1"/>
  <c r="U2006" i="1"/>
  <c r="R2006" i="1"/>
  <c r="Q2006" i="1"/>
  <c r="P2006" i="1"/>
  <c r="O2006" i="1"/>
  <c r="N2006" i="1"/>
  <c r="M2006" i="1"/>
  <c r="K2006" i="1"/>
  <c r="J2006" i="1"/>
  <c r="I2006" i="1"/>
  <c r="H2006" i="1"/>
  <c r="F2006" i="1"/>
  <c r="D2006" i="1"/>
  <c r="B2006" i="1"/>
  <c r="A2006" i="1"/>
  <c r="U1885" i="1"/>
  <c r="R1885" i="1"/>
  <c r="Q1885" i="1"/>
  <c r="P1885" i="1"/>
  <c r="O1885" i="1"/>
  <c r="N1885" i="1"/>
  <c r="M1885" i="1"/>
  <c r="K1885" i="1"/>
  <c r="J1885" i="1"/>
  <c r="I1885" i="1"/>
  <c r="H1885" i="1"/>
  <c r="F1885" i="1"/>
  <c r="D1885" i="1"/>
  <c r="B1885" i="1"/>
  <c r="A1885" i="1"/>
  <c r="U2466" i="1"/>
  <c r="R2466" i="1"/>
  <c r="Q2466" i="1"/>
  <c r="P2466" i="1"/>
  <c r="O2466" i="1"/>
  <c r="N2466" i="1"/>
  <c r="M2466" i="1"/>
  <c r="K2466" i="1"/>
  <c r="J2466" i="1"/>
  <c r="I2466" i="1"/>
  <c r="H2466" i="1"/>
  <c r="F2466" i="1"/>
  <c r="E2466" i="1"/>
  <c r="D2466" i="1"/>
  <c r="B2466" i="1"/>
  <c r="A2466" i="1"/>
  <c r="U795" i="1"/>
  <c r="R795" i="1"/>
  <c r="Q795" i="1"/>
  <c r="P795" i="1"/>
  <c r="O795" i="1"/>
  <c r="N795" i="1"/>
  <c r="M795" i="1"/>
  <c r="J795" i="1"/>
  <c r="I795" i="1"/>
  <c r="H795" i="1"/>
  <c r="G795" i="1"/>
  <c r="F795" i="1"/>
  <c r="D795" i="1"/>
  <c r="B795" i="1"/>
  <c r="A795" i="1"/>
  <c r="U794" i="1"/>
  <c r="R794" i="1"/>
  <c r="Q794" i="1"/>
  <c r="P794" i="1"/>
  <c r="O794" i="1"/>
  <c r="N794" i="1"/>
  <c r="M794" i="1"/>
  <c r="J794" i="1"/>
  <c r="I794" i="1"/>
  <c r="H794" i="1"/>
  <c r="G794" i="1"/>
  <c r="F794" i="1"/>
  <c r="D794" i="1"/>
  <c r="B794" i="1"/>
  <c r="A794" i="1"/>
  <c r="U884" i="1"/>
  <c r="R884" i="1"/>
  <c r="Q884" i="1"/>
  <c r="P884" i="1"/>
  <c r="O884" i="1"/>
  <c r="N884" i="1"/>
  <c r="M884" i="1"/>
  <c r="J884" i="1"/>
  <c r="I884" i="1"/>
  <c r="H884" i="1"/>
  <c r="F884" i="1"/>
  <c r="D884" i="1"/>
  <c r="B884" i="1"/>
  <c r="A884" i="1"/>
  <c r="U1412" i="1"/>
  <c r="R1412" i="1"/>
  <c r="Q1412" i="1"/>
  <c r="P1412" i="1"/>
  <c r="O1412" i="1"/>
  <c r="N1412" i="1"/>
  <c r="M1412" i="1"/>
  <c r="J1412" i="1"/>
  <c r="I1412" i="1"/>
  <c r="H1412" i="1"/>
  <c r="G1412" i="1"/>
  <c r="F1412" i="1"/>
  <c r="D1412" i="1"/>
  <c r="B1412" i="1"/>
  <c r="A1412" i="1"/>
  <c r="U1973" i="1"/>
  <c r="R1973" i="1"/>
  <c r="Q1973" i="1"/>
  <c r="P1973" i="1"/>
  <c r="O1973" i="1"/>
  <c r="N1973" i="1"/>
  <c r="M1973" i="1"/>
  <c r="J1973" i="1"/>
  <c r="I1973" i="1"/>
  <c r="H1973" i="1"/>
  <c r="F1973" i="1"/>
  <c r="D1973" i="1"/>
  <c r="B1973" i="1"/>
  <c r="A1973" i="1"/>
  <c r="U2138" i="1"/>
  <c r="R2138" i="1"/>
  <c r="Q2138" i="1"/>
  <c r="P2138" i="1"/>
  <c r="O2138" i="1"/>
  <c r="N2138" i="1"/>
  <c r="M2138" i="1"/>
  <c r="K2138" i="1"/>
  <c r="J2138" i="1"/>
  <c r="I2138" i="1"/>
  <c r="H2138" i="1"/>
  <c r="F2138" i="1"/>
  <c r="D2138" i="1"/>
  <c r="B2138" i="1"/>
  <c r="A2138" i="1"/>
  <c r="U2156" i="1"/>
  <c r="R2156" i="1"/>
  <c r="Q2156" i="1"/>
  <c r="P2156" i="1"/>
  <c r="O2156" i="1"/>
  <c r="N2156" i="1"/>
  <c r="M2156" i="1"/>
  <c r="K2156" i="1"/>
  <c r="J2156" i="1"/>
  <c r="I2156" i="1"/>
  <c r="H2156" i="1"/>
  <c r="F2156" i="1"/>
  <c r="E2156" i="1"/>
  <c r="D2156" i="1"/>
  <c r="B2156" i="1"/>
  <c r="A2156" i="1"/>
  <c r="U2399" i="1"/>
  <c r="R2399" i="1"/>
  <c r="Q2399" i="1"/>
  <c r="P2399" i="1"/>
  <c r="O2399" i="1"/>
  <c r="N2399" i="1"/>
  <c r="M2399" i="1"/>
  <c r="K2399" i="1"/>
  <c r="J2399" i="1"/>
  <c r="I2399" i="1"/>
  <c r="H2399" i="1"/>
  <c r="G2399" i="1"/>
  <c r="F2399" i="1"/>
  <c r="D2399" i="1"/>
  <c r="B2399" i="1"/>
  <c r="A2399" i="1"/>
  <c r="U2005" i="1"/>
  <c r="R2005" i="1"/>
  <c r="Q2005" i="1"/>
  <c r="P2005" i="1"/>
  <c r="O2005" i="1"/>
  <c r="N2005" i="1"/>
  <c r="M2005" i="1"/>
  <c r="K2005" i="1"/>
  <c r="J2005" i="1"/>
  <c r="I2005" i="1"/>
  <c r="H2005" i="1"/>
  <c r="F2005" i="1"/>
  <c r="D2005" i="1"/>
  <c r="B2005" i="1"/>
  <c r="A2005" i="1"/>
  <c r="U1923" i="1"/>
  <c r="R1923" i="1"/>
  <c r="Q1923" i="1"/>
  <c r="P1923" i="1"/>
  <c r="O1923" i="1"/>
  <c r="N1923" i="1"/>
  <c r="M1923" i="1"/>
  <c r="K1923" i="1"/>
  <c r="J1923" i="1"/>
  <c r="I1923" i="1"/>
  <c r="H1923" i="1"/>
  <c r="F1923" i="1"/>
  <c r="D1923" i="1"/>
  <c r="B1923" i="1"/>
  <c r="A1923" i="1"/>
  <c r="U2680" i="1"/>
  <c r="R2680" i="1"/>
  <c r="Q2680" i="1"/>
  <c r="P2680" i="1"/>
  <c r="O2680" i="1"/>
  <c r="N2680" i="1"/>
  <c r="M2680" i="1"/>
  <c r="K2680" i="1"/>
  <c r="J2680" i="1"/>
  <c r="I2680" i="1"/>
  <c r="H2680" i="1"/>
  <c r="F2680" i="1"/>
  <c r="D2680" i="1"/>
  <c r="A2680" i="1"/>
  <c r="U2079" i="1"/>
  <c r="R2079" i="1"/>
  <c r="Q2079" i="1"/>
  <c r="P2079" i="1"/>
  <c r="O2079" i="1"/>
  <c r="N2079" i="1"/>
  <c r="M2079" i="1"/>
  <c r="K2079" i="1"/>
  <c r="J2079" i="1"/>
  <c r="I2079" i="1"/>
  <c r="H2079" i="1"/>
  <c r="F2079" i="1"/>
  <c r="D2079" i="1"/>
  <c r="B2079" i="1"/>
  <c r="A2079" i="1"/>
  <c r="U1649" i="1"/>
  <c r="R1649" i="1"/>
  <c r="Q1649" i="1"/>
  <c r="P1649" i="1"/>
  <c r="O1649" i="1"/>
  <c r="N1649" i="1"/>
  <c r="M1649" i="1"/>
  <c r="J1649" i="1"/>
  <c r="I1649" i="1"/>
  <c r="H1649" i="1"/>
  <c r="F1649" i="1"/>
  <c r="E1649" i="1"/>
  <c r="D1649" i="1"/>
  <c r="B1649" i="1"/>
  <c r="A1649" i="1"/>
  <c r="U1688" i="1"/>
  <c r="R1688" i="1"/>
  <c r="Q1688" i="1"/>
  <c r="P1688" i="1"/>
  <c r="O1688" i="1"/>
  <c r="N1688" i="1"/>
  <c r="M1688" i="1"/>
  <c r="J1688" i="1"/>
  <c r="I1688" i="1"/>
  <c r="H1688" i="1"/>
  <c r="F1688" i="1"/>
  <c r="D1688" i="1"/>
  <c r="B1688" i="1"/>
  <c r="A1688" i="1"/>
  <c r="U2308" i="1"/>
  <c r="R2308" i="1"/>
  <c r="Q2308" i="1"/>
  <c r="P2308" i="1"/>
  <c r="O2308" i="1"/>
  <c r="N2308" i="1"/>
  <c r="M2308" i="1"/>
  <c r="K2308" i="1"/>
  <c r="J2308" i="1"/>
  <c r="I2308" i="1"/>
  <c r="H2308" i="1"/>
  <c r="F2308" i="1"/>
  <c r="D2308" i="1"/>
  <c r="B2308" i="1"/>
  <c r="A2308" i="1"/>
  <c r="U2306" i="1"/>
  <c r="R2306" i="1"/>
  <c r="Q2306" i="1"/>
  <c r="P2306" i="1"/>
  <c r="O2306" i="1"/>
  <c r="N2306" i="1"/>
  <c r="M2306" i="1"/>
  <c r="K2306" i="1"/>
  <c r="J2306" i="1"/>
  <c r="I2306" i="1"/>
  <c r="H2306" i="1"/>
  <c r="F2306" i="1"/>
  <c r="D2306" i="1"/>
  <c r="A2306" i="1"/>
  <c r="U2004" i="1"/>
  <c r="R2004" i="1"/>
  <c r="Q2004" i="1"/>
  <c r="P2004" i="1"/>
  <c r="O2004" i="1"/>
  <c r="N2004" i="1"/>
  <c r="M2004" i="1"/>
  <c r="K2004" i="1"/>
  <c r="J2004" i="1"/>
  <c r="I2004" i="1"/>
  <c r="H2004" i="1"/>
  <c r="F2004" i="1"/>
  <c r="D2004" i="1"/>
  <c r="B2004" i="1"/>
  <c r="A2004" i="1"/>
  <c r="U10" i="1"/>
  <c r="R10" i="1"/>
  <c r="Q10" i="1"/>
  <c r="P10" i="1"/>
  <c r="O10" i="1"/>
  <c r="N10" i="1"/>
  <c r="M10" i="1"/>
  <c r="I10" i="1"/>
  <c r="H10" i="1"/>
  <c r="F10" i="1"/>
  <c r="D10" i="1"/>
  <c r="A10" i="1"/>
  <c r="U583" i="1"/>
  <c r="R583" i="1"/>
  <c r="Q583" i="1"/>
  <c r="P583" i="1"/>
  <c r="O583" i="1"/>
  <c r="N583" i="1"/>
  <c r="M583" i="1"/>
  <c r="J583" i="1"/>
  <c r="I583" i="1"/>
  <c r="H583" i="1"/>
  <c r="F583" i="1"/>
  <c r="E583" i="1"/>
  <c r="D583" i="1"/>
  <c r="B583" i="1"/>
  <c r="A583" i="1"/>
  <c r="U1110" i="1"/>
  <c r="R1110" i="1"/>
  <c r="Q1110" i="1"/>
  <c r="P1110" i="1"/>
  <c r="O1110" i="1"/>
  <c r="N1110" i="1"/>
  <c r="M1110" i="1"/>
  <c r="J1110" i="1"/>
  <c r="I1110" i="1"/>
  <c r="H1110" i="1"/>
  <c r="F1110" i="1"/>
  <c r="D1110" i="1"/>
  <c r="B1110" i="1"/>
  <c r="A1110" i="1"/>
  <c r="U1255" i="1"/>
  <c r="R1255" i="1"/>
  <c r="Q1255" i="1"/>
  <c r="P1255" i="1"/>
  <c r="O1255" i="1"/>
  <c r="N1255" i="1"/>
  <c r="M1255" i="1"/>
  <c r="J1255" i="1"/>
  <c r="I1255" i="1"/>
  <c r="H1255" i="1"/>
  <c r="F1255" i="1"/>
  <c r="D1255" i="1"/>
  <c r="A1255" i="1"/>
  <c r="U1365" i="1"/>
  <c r="R1365" i="1"/>
  <c r="Q1365" i="1"/>
  <c r="P1365" i="1"/>
  <c r="O1365" i="1"/>
  <c r="N1365" i="1"/>
  <c r="M1365" i="1"/>
  <c r="J1365" i="1"/>
  <c r="I1365" i="1"/>
  <c r="H1365" i="1"/>
  <c r="F1365" i="1"/>
  <c r="D1365" i="1"/>
  <c r="A1365" i="1"/>
  <c r="U1477" i="1"/>
  <c r="R1477" i="1"/>
  <c r="Q1477" i="1"/>
  <c r="P1477" i="1"/>
  <c r="O1477" i="1"/>
  <c r="N1477" i="1"/>
  <c r="M1477" i="1"/>
  <c r="J1477" i="1"/>
  <c r="I1477" i="1"/>
  <c r="H1477" i="1"/>
  <c r="F1477" i="1"/>
  <c r="D1477" i="1"/>
  <c r="A1477" i="1"/>
  <c r="U1687" i="1"/>
  <c r="R1687" i="1"/>
  <c r="Q1687" i="1"/>
  <c r="P1687" i="1"/>
  <c r="O1687" i="1"/>
  <c r="N1687" i="1"/>
  <c r="M1687" i="1"/>
  <c r="K1687" i="1"/>
  <c r="J1687" i="1"/>
  <c r="I1687" i="1"/>
  <c r="H1687" i="1"/>
  <c r="F1687" i="1"/>
  <c r="D1687" i="1"/>
  <c r="B1687" i="1"/>
  <c r="A1687" i="1"/>
  <c r="U1766" i="1"/>
  <c r="R1766" i="1"/>
  <c r="Q1766" i="1"/>
  <c r="P1766" i="1"/>
  <c r="O1766" i="1"/>
  <c r="N1766" i="1"/>
  <c r="M1766" i="1"/>
  <c r="J1766" i="1"/>
  <c r="I1766" i="1"/>
  <c r="H1766" i="1"/>
  <c r="F1766" i="1"/>
  <c r="D1766" i="1"/>
  <c r="B1766" i="1"/>
  <c r="A1766" i="1"/>
  <c r="U1802" i="1"/>
  <c r="R1802" i="1"/>
  <c r="Q1802" i="1"/>
  <c r="P1802" i="1"/>
  <c r="O1802" i="1"/>
  <c r="N1802" i="1"/>
  <c r="M1802" i="1"/>
  <c r="J1802" i="1"/>
  <c r="I1802" i="1"/>
  <c r="H1802" i="1"/>
  <c r="F1802" i="1"/>
  <c r="D1802" i="1"/>
  <c r="B1802" i="1"/>
  <c r="A1802" i="1"/>
  <c r="U2019" i="1"/>
  <c r="R2019" i="1"/>
  <c r="Q2019" i="1"/>
  <c r="P2019" i="1"/>
  <c r="O2019" i="1"/>
  <c r="N2019" i="1"/>
  <c r="M2019" i="1"/>
  <c r="J2019" i="1"/>
  <c r="I2019" i="1"/>
  <c r="H2019" i="1"/>
  <c r="F2019" i="1"/>
  <c r="D2019" i="1"/>
  <c r="B2019" i="1"/>
  <c r="A2019" i="1"/>
  <c r="U2068" i="1"/>
  <c r="R2068" i="1"/>
  <c r="Q2068" i="1"/>
  <c r="P2068" i="1"/>
  <c r="O2068" i="1"/>
  <c r="N2068" i="1"/>
  <c r="M2068" i="1"/>
  <c r="J2068" i="1"/>
  <c r="I2068" i="1"/>
  <c r="H2068" i="1"/>
  <c r="G2068" i="1"/>
  <c r="F2068" i="1"/>
  <c r="D2068" i="1"/>
  <c r="B2068" i="1"/>
  <c r="A2068" i="1"/>
  <c r="U2123" i="1"/>
  <c r="R2123" i="1"/>
  <c r="Q2123" i="1"/>
  <c r="P2123" i="1"/>
  <c r="O2123" i="1"/>
  <c r="N2123" i="1"/>
  <c r="M2123" i="1"/>
  <c r="K2123" i="1"/>
  <c r="J2123" i="1"/>
  <c r="I2123" i="1"/>
  <c r="H2123" i="1"/>
  <c r="F2123" i="1"/>
  <c r="D2123" i="1"/>
  <c r="B2123" i="1"/>
  <c r="A2123" i="1"/>
  <c r="U2804" i="1"/>
  <c r="R2804" i="1"/>
  <c r="Q2804" i="1"/>
  <c r="P2804" i="1"/>
  <c r="O2804" i="1"/>
  <c r="N2804" i="1"/>
  <c r="M2804" i="1"/>
  <c r="J2804" i="1"/>
  <c r="I2804" i="1"/>
  <c r="H2804" i="1"/>
  <c r="F2804" i="1"/>
  <c r="D2804" i="1"/>
  <c r="B2804" i="1"/>
  <c r="A2804" i="1"/>
  <c r="U3128" i="1"/>
  <c r="R3128" i="1"/>
  <c r="Q3128" i="1"/>
  <c r="P3128" i="1"/>
  <c r="O3128" i="1"/>
  <c r="N3128" i="1"/>
  <c r="M3128" i="1"/>
  <c r="J3128" i="1"/>
  <c r="I3128" i="1"/>
  <c r="H3128" i="1"/>
  <c r="F3128" i="1"/>
  <c r="D3128" i="1"/>
  <c r="B3128" i="1"/>
  <c r="A3128" i="1"/>
  <c r="U3131" i="1"/>
  <c r="R3131" i="1"/>
  <c r="Q3131" i="1"/>
  <c r="P3131" i="1"/>
  <c r="O3131" i="1"/>
  <c r="N3131" i="1"/>
  <c r="M3131" i="1"/>
  <c r="J3131" i="1"/>
  <c r="I3131" i="1"/>
  <c r="H3131" i="1"/>
  <c r="F3131" i="1"/>
  <c r="D3131" i="1"/>
  <c r="B3131" i="1"/>
  <c r="A3131" i="1"/>
  <c r="U3137" i="1"/>
  <c r="R3137" i="1"/>
  <c r="Q3137" i="1"/>
  <c r="P3137" i="1"/>
  <c r="O3137" i="1"/>
  <c r="N3137" i="1"/>
  <c r="M3137" i="1"/>
  <c r="J3137" i="1"/>
  <c r="I3137" i="1"/>
  <c r="H3137" i="1"/>
  <c r="F3137" i="1"/>
  <c r="D3137" i="1"/>
  <c r="B3137" i="1"/>
  <c r="A3137" i="1"/>
  <c r="U2518" i="1"/>
  <c r="R2518" i="1"/>
  <c r="Q2518" i="1"/>
  <c r="P2518" i="1"/>
  <c r="O2518" i="1"/>
  <c r="N2518" i="1"/>
  <c r="M2518" i="1"/>
  <c r="I2518" i="1"/>
  <c r="H2518" i="1"/>
  <c r="F2518" i="1"/>
  <c r="D2518" i="1"/>
  <c r="B2518" i="1"/>
  <c r="A2518" i="1"/>
  <c r="U2610" i="1"/>
  <c r="R2610" i="1"/>
  <c r="Q2610" i="1"/>
  <c r="P2610" i="1"/>
  <c r="O2610" i="1"/>
  <c r="N2610" i="1"/>
  <c r="M2610" i="1"/>
  <c r="K2610" i="1"/>
  <c r="J2610" i="1"/>
  <c r="I2610" i="1"/>
  <c r="H2610" i="1"/>
  <c r="F2610" i="1"/>
  <c r="D2610" i="1"/>
  <c r="B2610" i="1"/>
  <c r="A2610" i="1"/>
  <c r="U2639" i="1"/>
  <c r="R2639" i="1"/>
  <c r="Q2639" i="1"/>
  <c r="P2639" i="1"/>
  <c r="O2639" i="1"/>
  <c r="N2639" i="1"/>
  <c r="M2639" i="1"/>
  <c r="J2639" i="1"/>
  <c r="I2639" i="1"/>
  <c r="H2639" i="1"/>
  <c r="F2639" i="1"/>
  <c r="D2639" i="1"/>
  <c r="B2639" i="1"/>
  <c r="A2639" i="1"/>
  <c r="U2940" i="1"/>
  <c r="R2940" i="1"/>
  <c r="Q2940" i="1"/>
  <c r="P2940" i="1"/>
  <c r="O2940" i="1"/>
  <c r="N2940" i="1"/>
  <c r="M2940" i="1"/>
  <c r="J2940" i="1"/>
  <c r="I2940" i="1"/>
  <c r="H2940" i="1"/>
  <c r="F2940" i="1"/>
  <c r="D2940" i="1"/>
  <c r="B2940" i="1"/>
  <c r="A2940" i="1"/>
  <c r="U114" i="1"/>
  <c r="R114" i="1"/>
  <c r="Q114" i="1"/>
  <c r="P114" i="1"/>
  <c r="O114" i="1"/>
  <c r="N114" i="1"/>
  <c r="M114" i="1"/>
  <c r="I114" i="1"/>
  <c r="H114" i="1"/>
  <c r="F114" i="1"/>
  <c r="D114" i="1"/>
  <c r="B114" i="1"/>
  <c r="A114" i="1"/>
  <c r="U747" i="1"/>
  <c r="R747" i="1"/>
  <c r="Q747" i="1"/>
  <c r="P747" i="1"/>
  <c r="O747" i="1"/>
  <c r="N747" i="1"/>
  <c r="M747" i="1"/>
  <c r="J747" i="1"/>
  <c r="I747" i="1"/>
  <c r="H747" i="1"/>
  <c r="F747" i="1"/>
  <c r="D747" i="1"/>
  <c r="B747" i="1"/>
  <c r="A747" i="1"/>
  <c r="U940" i="1"/>
  <c r="R940" i="1"/>
  <c r="Q940" i="1"/>
  <c r="P940" i="1"/>
  <c r="O940" i="1"/>
  <c r="N940" i="1"/>
  <c r="M940" i="1"/>
  <c r="I940" i="1"/>
  <c r="H940" i="1"/>
  <c r="F940" i="1"/>
  <c r="D940" i="1"/>
  <c r="B940" i="1"/>
  <c r="A940" i="1"/>
  <c r="U1163" i="1"/>
  <c r="R1163" i="1"/>
  <c r="Q1163" i="1"/>
  <c r="P1163" i="1"/>
  <c r="O1163" i="1"/>
  <c r="N1163" i="1"/>
  <c r="M1163" i="1"/>
  <c r="I1163" i="1"/>
  <c r="H1163" i="1"/>
  <c r="F1163" i="1"/>
  <c r="D1163" i="1"/>
  <c r="B1163" i="1"/>
  <c r="A1163" i="1"/>
  <c r="U1301" i="1"/>
  <c r="R1301" i="1"/>
  <c r="Q1301" i="1"/>
  <c r="P1301" i="1"/>
  <c r="O1301" i="1"/>
  <c r="N1301" i="1"/>
  <c r="M1301" i="1"/>
  <c r="I1301" i="1"/>
  <c r="H1301" i="1"/>
  <c r="F1301" i="1"/>
  <c r="D1301" i="1"/>
  <c r="A1301" i="1"/>
  <c r="U1383" i="1"/>
  <c r="R1383" i="1"/>
  <c r="Q1383" i="1"/>
  <c r="P1383" i="1"/>
  <c r="O1383" i="1"/>
  <c r="N1383" i="1"/>
  <c r="M1383" i="1"/>
  <c r="I1383" i="1"/>
  <c r="H1383" i="1"/>
  <c r="F1383" i="1"/>
  <c r="D1383" i="1"/>
  <c r="B1383" i="1"/>
  <c r="A1383" i="1"/>
  <c r="U1502" i="1"/>
  <c r="R1502" i="1"/>
  <c r="Q1502" i="1"/>
  <c r="P1502" i="1"/>
  <c r="O1502" i="1"/>
  <c r="N1502" i="1"/>
  <c r="M1502" i="1"/>
  <c r="I1502" i="1"/>
  <c r="H1502" i="1"/>
  <c r="F1502" i="1"/>
  <c r="D1502" i="1"/>
  <c r="A1502" i="1"/>
  <c r="U1460" i="1"/>
  <c r="R1460" i="1"/>
  <c r="Q1460" i="1"/>
  <c r="P1460" i="1"/>
  <c r="O1460" i="1"/>
  <c r="N1460" i="1"/>
  <c r="M1460" i="1"/>
  <c r="I1460" i="1"/>
  <c r="H1460" i="1"/>
  <c r="F1460" i="1"/>
  <c r="D1460" i="1"/>
  <c r="A1460" i="1"/>
  <c r="U1520" i="1"/>
  <c r="R1520" i="1"/>
  <c r="Q1520" i="1"/>
  <c r="P1520" i="1"/>
  <c r="O1520" i="1"/>
  <c r="N1520" i="1"/>
  <c r="M1520" i="1"/>
  <c r="I1520" i="1"/>
  <c r="H1520" i="1"/>
  <c r="F1520" i="1"/>
  <c r="D1520" i="1"/>
  <c r="A1520" i="1"/>
  <c r="U1523" i="1"/>
  <c r="R1523" i="1"/>
  <c r="Q1523" i="1"/>
  <c r="P1523" i="1"/>
  <c r="O1523" i="1"/>
  <c r="N1523" i="1"/>
  <c r="M1523" i="1"/>
  <c r="I1523" i="1"/>
  <c r="H1523" i="1"/>
  <c r="F1523" i="1"/>
  <c r="D1523" i="1"/>
  <c r="B1523" i="1"/>
  <c r="A1523" i="1"/>
  <c r="U1637" i="1"/>
  <c r="R1637" i="1"/>
  <c r="Q1637" i="1"/>
  <c r="P1637" i="1"/>
  <c r="O1637" i="1"/>
  <c r="N1637" i="1"/>
  <c r="M1637" i="1"/>
  <c r="J1637" i="1"/>
  <c r="I1637" i="1"/>
  <c r="H1637" i="1"/>
  <c r="F1637" i="1"/>
  <c r="D1637" i="1"/>
  <c r="B1637" i="1"/>
  <c r="A1637" i="1"/>
  <c r="U1648" i="1"/>
  <c r="R1648" i="1"/>
  <c r="Q1648" i="1"/>
  <c r="P1648" i="1"/>
  <c r="O1648" i="1"/>
  <c r="N1648" i="1"/>
  <c r="M1648" i="1"/>
  <c r="J1648" i="1"/>
  <c r="I1648" i="1"/>
  <c r="H1648" i="1"/>
  <c r="F1648" i="1"/>
  <c r="D1648" i="1"/>
  <c r="B1648" i="1"/>
  <c r="A1648" i="1"/>
  <c r="U1681" i="1"/>
  <c r="R1681" i="1"/>
  <c r="Q1681" i="1"/>
  <c r="P1681" i="1"/>
  <c r="O1681" i="1"/>
  <c r="N1681" i="1"/>
  <c r="M1681" i="1"/>
  <c r="J1681" i="1"/>
  <c r="I1681" i="1"/>
  <c r="H1681" i="1"/>
  <c r="F1681" i="1"/>
  <c r="D1681" i="1"/>
  <c r="B1681" i="1"/>
  <c r="A1681" i="1"/>
  <c r="U1893" i="1"/>
  <c r="R1893" i="1"/>
  <c r="Q1893" i="1"/>
  <c r="P1893" i="1"/>
  <c r="O1893" i="1"/>
  <c r="N1893" i="1"/>
  <c r="M1893" i="1"/>
  <c r="I1893" i="1"/>
  <c r="H1893" i="1"/>
  <c r="F1893" i="1"/>
  <c r="D1893" i="1"/>
  <c r="B1893" i="1"/>
  <c r="A1893" i="1"/>
  <c r="U1981" i="1"/>
  <c r="R1981" i="1"/>
  <c r="Q1981" i="1"/>
  <c r="P1981" i="1"/>
  <c r="O1981" i="1"/>
  <c r="N1981" i="1"/>
  <c r="M1981" i="1"/>
  <c r="I1981" i="1"/>
  <c r="H1981" i="1"/>
  <c r="F1981" i="1"/>
  <c r="D1981" i="1"/>
  <c r="B1981" i="1"/>
  <c r="A1981" i="1"/>
  <c r="U2022" i="1"/>
  <c r="R2022" i="1"/>
  <c r="Q2022" i="1"/>
  <c r="P2022" i="1"/>
  <c r="O2022" i="1"/>
  <c r="N2022" i="1"/>
  <c r="M2022" i="1"/>
  <c r="J2022" i="1"/>
  <c r="I2022" i="1"/>
  <c r="H2022" i="1"/>
  <c r="F2022" i="1"/>
  <c r="D2022" i="1"/>
  <c r="A2022" i="1"/>
  <c r="U2040" i="1"/>
  <c r="R2040" i="1"/>
  <c r="Q2040" i="1"/>
  <c r="P2040" i="1"/>
  <c r="O2040" i="1"/>
  <c r="N2040" i="1"/>
  <c r="M2040" i="1"/>
  <c r="J2040" i="1"/>
  <c r="I2040" i="1"/>
  <c r="H2040" i="1"/>
  <c r="F2040" i="1"/>
  <c r="D2040" i="1"/>
  <c r="A2040" i="1"/>
  <c r="U2091" i="1"/>
  <c r="R2091" i="1"/>
  <c r="Q2091" i="1"/>
  <c r="P2091" i="1"/>
  <c r="O2091" i="1"/>
  <c r="N2091" i="1"/>
  <c r="M2091" i="1"/>
  <c r="K2091" i="1"/>
  <c r="J2091" i="1"/>
  <c r="I2091" i="1"/>
  <c r="H2091" i="1"/>
  <c r="F2091" i="1"/>
  <c r="D2091" i="1"/>
  <c r="A2091" i="1"/>
  <c r="U2349" i="1"/>
  <c r="R2349" i="1"/>
  <c r="Q2349" i="1"/>
  <c r="P2349" i="1"/>
  <c r="O2349" i="1"/>
  <c r="N2349" i="1"/>
  <c r="M2349" i="1"/>
  <c r="J2349" i="1"/>
  <c r="I2349" i="1"/>
  <c r="H2349" i="1"/>
  <c r="F2349" i="1"/>
  <c r="D2349" i="1"/>
  <c r="B2349" i="1"/>
  <c r="A2349" i="1"/>
  <c r="U2463" i="1"/>
  <c r="R2463" i="1"/>
  <c r="Q2463" i="1"/>
  <c r="P2463" i="1"/>
  <c r="O2463" i="1"/>
  <c r="N2463" i="1"/>
  <c r="M2463" i="1"/>
  <c r="K2463" i="1"/>
  <c r="J2463" i="1"/>
  <c r="I2463" i="1"/>
  <c r="H2463" i="1"/>
  <c r="F2463" i="1"/>
  <c r="D2463" i="1"/>
  <c r="B2463" i="1"/>
  <c r="A2463" i="1"/>
  <c r="U2710" i="1"/>
  <c r="R2710" i="1"/>
  <c r="Q2710" i="1"/>
  <c r="P2710" i="1"/>
  <c r="O2710" i="1"/>
  <c r="N2710" i="1"/>
  <c r="M2710" i="1"/>
  <c r="K2710" i="1"/>
  <c r="J2710" i="1"/>
  <c r="I2710" i="1"/>
  <c r="H2710" i="1"/>
  <c r="F2710" i="1"/>
  <c r="D2710" i="1"/>
  <c r="B2710" i="1"/>
  <c r="A2710" i="1"/>
  <c r="U2701" i="1"/>
  <c r="R2701" i="1"/>
  <c r="Q2701" i="1"/>
  <c r="P2701" i="1"/>
  <c r="O2701" i="1"/>
  <c r="N2701" i="1"/>
  <c r="M2701" i="1"/>
  <c r="K2701" i="1"/>
  <c r="J2701" i="1"/>
  <c r="I2701" i="1"/>
  <c r="H2701" i="1"/>
  <c r="F2701" i="1"/>
  <c r="D2701" i="1"/>
  <c r="B2701" i="1"/>
  <c r="A2701" i="1"/>
  <c r="U3175" i="1"/>
  <c r="R3175" i="1"/>
  <c r="Q3175" i="1"/>
  <c r="P3175" i="1"/>
  <c r="O3175" i="1"/>
  <c r="N3175" i="1"/>
  <c r="M3175" i="1"/>
  <c r="K3175" i="1"/>
  <c r="J3175" i="1"/>
  <c r="I3175" i="1"/>
  <c r="H3175" i="1"/>
  <c r="F3175" i="1"/>
  <c r="D3175" i="1"/>
  <c r="B3175" i="1"/>
  <c r="A3175" i="1"/>
  <c r="U2440" i="1"/>
  <c r="R2440" i="1"/>
  <c r="Q2440" i="1"/>
  <c r="P2440" i="1"/>
  <c r="O2440" i="1"/>
  <c r="N2440" i="1"/>
  <c r="M2440" i="1"/>
  <c r="K2440" i="1"/>
  <c r="J2440" i="1"/>
  <c r="I2440" i="1"/>
  <c r="H2440" i="1"/>
  <c r="F2440" i="1"/>
  <c r="D2440" i="1"/>
  <c r="B2440" i="1"/>
  <c r="A2440" i="1"/>
  <c r="U3206" i="1"/>
  <c r="R3206" i="1"/>
  <c r="Q3206" i="1"/>
  <c r="P3206" i="1"/>
  <c r="O3206" i="1"/>
  <c r="N3206" i="1"/>
  <c r="M3206" i="1"/>
  <c r="K3206" i="1"/>
  <c r="J3206" i="1"/>
  <c r="I3206" i="1"/>
  <c r="H3206" i="1"/>
  <c r="F3206" i="1"/>
  <c r="D3206" i="1"/>
  <c r="B3206" i="1"/>
  <c r="A3206" i="1"/>
  <c r="U2080" i="1"/>
  <c r="R2080" i="1"/>
  <c r="Q2080" i="1"/>
  <c r="P2080" i="1"/>
  <c r="O2080" i="1"/>
  <c r="N2080" i="1"/>
  <c r="M2080" i="1"/>
  <c r="J2080" i="1"/>
  <c r="I2080" i="1"/>
  <c r="H2080" i="1"/>
  <c r="G2080" i="1"/>
  <c r="F2080" i="1"/>
  <c r="D2080" i="1"/>
  <c r="B2080" i="1"/>
  <c r="A2080" i="1"/>
  <c r="U3215" i="1"/>
  <c r="R3215" i="1"/>
  <c r="Q3215" i="1"/>
  <c r="P3215" i="1"/>
  <c r="O3215" i="1"/>
  <c r="N3215" i="1"/>
  <c r="M3215" i="1"/>
  <c r="K3215" i="1"/>
  <c r="J3215" i="1"/>
  <c r="I3215" i="1"/>
  <c r="H3215" i="1"/>
  <c r="G3215" i="1"/>
  <c r="F3215" i="1"/>
  <c r="D3215" i="1"/>
  <c r="B3215" i="1"/>
  <c r="A3215" i="1"/>
  <c r="U3207" i="1"/>
  <c r="R3207" i="1"/>
  <c r="Q3207" i="1"/>
  <c r="P3207" i="1"/>
  <c r="O3207" i="1"/>
  <c r="N3207" i="1"/>
  <c r="M3207" i="1"/>
  <c r="K3207" i="1"/>
  <c r="J3207" i="1"/>
  <c r="I3207" i="1"/>
  <c r="H3207" i="1"/>
  <c r="F3207" i="1"/>
  <c r="D3207" i="1"/>
  <c r="B3207" i="1"/>
  <c r="A3207" i="1"/>
  <c r="U2066" i="1"/>
  <c r="R2066" i="1"/>
  <c r="Q2066" i="1"/>
  <c r="P2066" i="1"/>
  <c r="O2066" i="1"/>
  <c r="N2066" i="1"/>
  <c r="M2066" i="1"/>
  <c r="J2066" i="1"/>
  <c r="I2066" i="1"/>
  <c r="H2066" i="1"/>
  <c r="F2066" i="1"/>
  <c r="D2066" i="1"/>
  <c r="B2066" i="1"/>
  <c r="A2066" i="1"/>
  <c r="U3048" i="1"/>
  <c r="R3048" i="1"/>
  <c r="Q3048" i="1"/>
  <c r="P3048" i="1"/>
  <c r="O3048" i="1"/>
  <c r="N3048" i="1"/>
  <c r="M3048" i="1"/>
  <c r="K3048" i="1"/>
  <c r="J3048" i="1"/>
  <c r="I3048" i="1"/>
  <c r="H3048" i="1"/>
  <c r="F3048" i="1"/>
  <c r="D3048" i="1"/>
  <c r="B3048" i="1"/>
  <c r="A3048" i="1"/>
  <c r="U37" i="1"/>
  <c r="R37" i="1"/>
  <c r="Q37" i="1"/>
  <c r="P37" i="1"/>
  <c r="O37" i="1"/>
  <c r="N37" i="1"/>
  <c r="M37" i="1"/>
  <c r="I37" i="1"/>
  <c r="H37" i="1"/>
  <c r="F37" i="1"/>
  <c r="D37" i="1"/>
  <c r="B37" i="1"/>
  <c r="A37" i="1"/>
  <c r="U755" i="1"/>
  <c r="R755" i="1"/>
  <c r="Q755" i="1"/>
  <c r="P755" i="1"/>
  <c r="O755" i="1"/>
  <c r="N755" i="1"/>
  <c r="M755" i="1"/>
  <c r="I755" i="1"/>
  <c r="H755" i="1"/>
  <c r="F755" i="1"/>
  <c r="D755" i="1"/>
  <c r="B755" i="1"/>
  <c r="A755" i="1"/>
  <c r="U1150" i="1"/>
  <c r="R1150" i="1"/>
  <c r="Q1150" i="1"/>
  <c r="P1150" i="1"/>
  <c r="O1150" i="1"/>
  <c r="N1150" i="1"/>
  <c r="M1150" i="1"/>
  <c r="I1150" i="1"/>
  <c r="H1150" i="1"/>
  <c r="F1150" i="1"/>
  <c r="D1150" i="1"/>
  <c r="B1150" i="1"/>
  <c r="A1150" i="1"/>
  <c r="U1316" i="1"/>
  <c r="R1316" i="1"/>
  <c r="Q1316" i="1"/>
  <c r="P1316" i="1"/>
  <c r="O1316" i="1"/>
  <c r="N1316" i="1"/>
  <c r="M1316" i="1"/>
  <c r="J1316" i="1"/>
  <c r="I1316" i="1"/>
  <c r="H1316" i="1"/>
  <c r="G1316" i="1"/>
  <c r="F1316" i="1"/>
  <c r="D1316" i="1"/>
  <c r="B1316" i="1"/>
  <c r="A1316" i="1"/>
  <c r="U1428" i="1"/>
  <c r="R1428" i="1"/>
  <c r="Q1428" i="1"/>
  <c r="P1428" i="1"/>
  <c r="O1428" i="1"/>
  <c r="N1428" i="1"/>
  <c r="M1428" i="1"/>
  <c r="J1428" i="1"/>
  <c r="I1428" i="1"/>
  <c r="H1428" i="1"/>
  <c r="F1428" i="1"/>
  <c r="D1428" i="1"/>
  <c r="B1428" i="1"/>
  <c r="A1428" i="1"/>
  <c r="U1504" i="1"/>
  <c r="R1504" i="1"/>
  <c r="Q1504" i="1"/>
  <c r="P1504" i="1"/>
  <c r="O1504" i="1"/>
  <c r="N1504" i="1"/>
  <c r="M1504" i="1"/>
  <c r="I1504" i="1"/>
  <c r="H1504" i="1"/>
  <c r="F1504" i="1"/>
  <c r="D1504" i="1"/>
  <c r="B1504" i="1"/>
  <c r="A1504" i="1"/>
  <c r="U1511" i="1"/>
  <c r="R1511" i="1"/>
  <c r="Q1511" i="1"/>
  <c r="P1511" i="1"/>
  <c r="O1511" i="1"/>
  <c r="N1511" i="1"/>
  <c r="M1511" i="1"/>
  <c r="I1511" i="1"/>
  <c r="H1511" i="1"/>
  <c r="F1511" i="1"/>
  <c r="D1511" i="1"/>
  <c r="A1511" i="1"/>
  <c r="U2221" i="1"/>
  <c r="R2221" i="1"/>
  <c r="Q2221" i="1"/>
  <c r="P2221" i="1"/>
  <c r="O2221" i="1"/>
  <c r="N2221" i="1"/>
  <c r="M2221" i="1"/>
  <c r="K2221" i="1"/>
  <c r="J2221" i="1"/>
  <c r="I2221" i="1"/>
  <c r="H2221" i="1"/>
  <c r="G2221" i="1"/>
  <c r="F2221" i="1"/>
  <c r="D2221" i="1"/>
  <c r="B2221" i="1"/>
  <c r="A2221" i="1"/>
  <c r="U2362" i="1"/>
  <c r="R2362" i="1"/>
  <c r="Q2362" i="1"/>
  <c r="P2362" i="1"/>
  <c r="O2362" i="1"/>
  <c r="N2362" i="1"/>
  <c r="M2362" i="1"/>
  <c r="K2362" i="1"/>
  <c r="J2362" i="1"/>
  <c r="I2362" i="1"/>
  <c r="H2362" i="1"/>
  <c r="F2362" i="1"/>
  <c r="D2362" i="1"/>
  <c r="B2362" i="1"/>
  <c r="A2362" i="1"/>
  <c r="U2110" i="1"/>
  <c r="R2110" i="1"/>
  <c r="Q2110" i="1"/>
  <c r="P2110" i="1"/>
  <c r="O2110" i="1"/>
  <c r="N2110" i="1"/>
  <c r="M2110" i="1"/>
  <c r="J2110" i="1"/>
  <c r="I2110" i="1"/>
  <c r="H2110" i="1"/>
  <c r="F2110" i="1"/>
  <c r="D2110" i="1"/>
  <c r="B2110" i="1"/>
  <c r="A2110" i="1"/>
  <c r="U2167" i="1"/>
  <c r="R2167" i="1"/>
  <c r="Q2167" i="1"/>
  <c r="P2167" i="1"/>
  <c r="O2167" i="1"/>
  <c r="N2167" i="1"/>
  <c r="M2167" i="1"/>
  <c r="K2167" i="1"/>
  <c r="J2167" i="1"/>
  <c r="I2167" i="1"/>
  <c r="H2167" i="1"/>
  <c r="F2167" i="1"/>
  <c r="D2167" i="1"/>
  <c r="B2167" i="1"/>
  <c r="A2167" i="1"/>
  <c r="U2181" i="1"/>
  <c r="R2181" i="1"/>
  <c r="Q2181" i="1"/>
  <c r="P2181" i="1"/>
  <c r="O2181" i="1"/>
  <c r="N2181" i="1"/>
  <c r="M2181" i="1"/>
  <c r="K2181" i="1"/>
  <c r="J2181" i="1"/>
  <c r="I2181" i="1"/>
  <c r="H2181" i="1"/>
  <c r="F2181" i="1"/>
  <c r="D2181" i="1"/>
  <c r="B2181" i="1"/>
  <c r="A2181" i="1"/>
  <c r="U2508" i="1"/>
  <c r="R2508" i="1"/>
  <c r="Q2508" i="1"/>
  <c r="P2508" i="1"/>
  <c r="O2508" i="1"/>
  <c r="N2508" i="1"/>
  <c r="M2508" i="1"/>
  <c r="J2508" i="1"/>
  <c r="I2508" i="1"/>
  <c r="H2508" i="1"/>
  <c r="F2508" i="1"/>
  <c r="D2508" i="1"/>
  <c r="B2508" i="1"/>
  <c r="A2508" i="1"/>
  <c r="U2507" i="1"/>
  <c r="R2507" i="1"/>
  <c r="Q2507" i="1"/>
  <c r="P2507" i="1"/>
  <c r="O2507" i="1"/>
  <c r="N2507" i="1"/>
  <c r="M2507" i="1"/>
  <c r="J2507" i="1"/>
  <c r="I2507" i="1"/>
  <c r="H2507" i="1"/>
  <c r="F2507" i="1"/>
  <c r="D2507" i="1"/>
  <c r="B2507" i="1"/>
  <c r="A2507" i="1"/>
  <c r="U2506" i="1"/>
  <c r="R2506" i="1"/>
  <c r="Q2506" i="1"/>
  <c r="P2506" i="1"/>
  <c r="O2506" i="1"/>
  <c r="N2506" i="1"/>
  <c r="M2506" i="1"/>
  <c r="J2506" i="1"/>
  <c r="I2506" i="1"/>
  <c r="H2506" i="1"/>
  <c r="F2506" i="1"/>
  <c r="D2506" i="1"/>
  <c r="B2506" i="1"/>
  <c r="A2506" i="1"/>
  <c r="U1964" i="1"/>
  <c r="R1964" i="1"/>
  <c r="Q1964" i="1"/>
  <c r="P1964" i="1"/>
  <c r="O1964" i="1"/>
  <c r="N1964" i="1"/>
  <c r="M1964" i="1"/>
  <c r="J1964" i="1"/>
  <c r="I1964" i="1"/>
  <c r="H1964" i="1"/>
  <c r="F1964" i="1"/>
  <c r="D1964" i="1"/>
  <c r="B1964" i="1"/>
  <c r="A1964" i="1"/>
  <c r="U2109" i="1"/>
  <c r="R2109" i="1"/>
  <c r="Q2109" i="1"/>
  <c r="P2109" i="1"/>
  <c r="O2109" i="1"/>
  <c r="N2109" i="1"/>
  <c r="M2109" i="1"/>
  <c r="J2109" i="1"/>
  <c r="I2109" i="1"/>
  <c r="H2109" i="1"/>
  <c r="F2109" i="1"/>
  <c r="D2109" i="1"/>
  <c r="B2109" i="1"/>
  <c r="A2109" i="1"/>
  <c r="U1272" i="1"/>
  <c r="R1272" i="1"/>
  <c r="Q1272" i="1"/>
  <c r="P1272" i="1"/>
  <c r="O1272" i="1"/>
  <c r="N1272" i="1"/>
  <c r="M1272" i="1"/>
  <c r="J1272" i="1"/>
  <c r="I1272" i="1"/>
  <c r="H1272" i="1"/>
  <c r="F1272" i="1"/>
  <c r="D1272" i="1"/>
  <c r="B1272" i="1"/>
  <c r="A1272" i="1"/>
  <c r="U2047" i="1"/>
  <c r="R2047" i="1"/>
  <c r="Q2047" i="1"/>
  <c r="P2047" i="1"/>
  <c r="O2047" i="1"/>
  <c r="N2047" i="1"/>
  <c r="M2047" i="1"/>
  <c r="J2047" i="1"/>
  <c r="I2047" i="1"/>
  <c r="H2047" i="1"/>
  <c r="F2047" i="1"/>
  <c r="D2047" i="1"/>
  <c r="B2047" i="1"/>
  <c r="A2047" i="1"/>
  <c r="U2270" i="1"/>
  <c r="R2270" i="1"/>
  <c r="Q2270" i="1"/>
  <c r="P2270" i="1"/>
  <c r="O2270" i="1"/>
  <c r="N2270" i="1"/>
  <c r="M2270" i="1"/>
  <c r="K2270" i="1"/>
  <c r="J2270" i="1"/>
  <c r="I2270" i="1"/>
  <c r="H2270" i="1"/>
  <c r="F2270" i="1"/>
  <c r="D2270" i="1"/>
  <c r="B2270" i="1"/>
  <c r="A2270" i="1"/>
  <c r="U2009" i="1"/>
  <c r="R2009" i="1"/>
  <c r="Q2009" i="1"/>
  <c r="P2009" i="1"/>
  <c r="O2009" i="1"/>
  <c r="N2009" i="1"/>
  <c r="M2009" i="1"/>
  <c r="K2009" i="1"/>
  <c r="J2009" i="1"/>
  <c r="I2009" i="1"/>
  <c r="H2009" i="1"/>
  <c r="F2009" i="1"/>
  <c r="D2009" i="1"/>
  <c r="B2009" i="1"/>
  <c r="A2009" i="1"/>
  <c r="U3168" i="1"/>
  <c r="R3168" i="1"/>
  <c r="Q3168" i="1"/>
  <c r="P3168" i="1"/>
  <c r="O3168" i="1"/>
  <c r="N3168" i="1"/>
  <c r="M3168" i="1"/>
  <c r="K3168" i="1"/>
  <c r="J3168" i="1"/>
  <c r="I3168" i="1"/>
  <c r="H3168" i="1"/>
  <c r="F3168" i="1"/>
  <c r="D3168" i="1"/>
  <c r="B3168" i="1"/>
  <c r="A3168" i="1"/>
  <c r="U3167" i="1"/>
  <c r="R3167" i="1"/>
  <c r="Q3167" i="1"/>
  <c r="P3167" i="1"/>
  <c r="O3167" i="1"/>
  <c r="N3167" i="1"/>
  <c r="M3167" i="1"/>
  <c r="K3167" i="1"/>
  <c r="J3167" i="1"/>
  <c r="I3167" i="1"/>
  <c r="H3167" i="1"/>
  <c r="F3167" i="1"/>
  <c r="D3167" i="1"/>
  <c r="B3167" i="1"/>
  <c r="A3167" i="1"/>
  <c r="U2163" i="1"/>
  <c r="R2163" i="1"/>
  <c r="Q2163" i="1"/>
  <c r="P2163" i="1"/>
  <c r="O2163" i="1"/>
  <c r="N2163" i="1"/>
  <c r="M2163" i="1"/>
  <c r="K2163" i="1"/>
  <c r="J2163" i="1"/>
  <c r="I2163" i="1"/>
  <c r="H2163" i="1"/>
  <c r="F2163" i="1"/>
  <c r="D2163" i="1"/>
  <c r="A2163" i="1"/>
  <c r="U3179" i="1"/>
  <c r="R3179" i="1"/>
  <c r="Q3179" i="1"/>
  <c r="P3179" i="1"/>
  <c r="O3179" i="1"/>
  <c r="N3179" i="1"/>
  <c r="M3179" i="1"/>
  <c r="J3179" i="1"/>
  <c r="I3179" i="1"/>
  <c r="H3179" i="1"/>
  <c r="F3179" i="1"/>
  <c r="D3179" i="1"/>
  <c r="B3179" i="1"/>
  <c r="A3179" i="1"/>
  <c r="U23" i="1"/>
  <c r="R23" i="1"/>
  <c r="Q23" i="1"/>
  <c r="P23" i="1"/>
  <c r="O23" i="1"/>
  <c r="N23" i="1"/>
  <c r="M23" i="1"/>
  <c r="I23" i="1"/>
  <c r="H23" i="1"/>
  <c r="F23" i="1"/>
  <c r="D23" i="1"/>
  <c r="A23" i="1"/>
  <c r="U108" i="1"/>
  <c r="R108" i="1"/>
  <c r="Q108" i="1"/>
  <c r="P108" i="1"/>
  <c r="O108" i="1"/>
  <c r="N108" i="1"/>
  <c r="M108" i="1"/>
  <c r="J108" i="1"/>
  <c r="I108" i="1"/>
  <c r="H108" i="1"/>
  <c r="F108" i="1"/>
  <c r="D108" i="1"/>
  <c r="B108" i="1"/>
  <c r="A108" i="1"/>
  <c r="U153" i="1"/>
  <c r="R153" i="1"/>
  <c r="Q153" i="1"/>
  <c r="P153" i="1"/>
  <c r="O153" i="1"/>
  <c r="N153" i="1"/>
  <c r="M153" i="1"/>
  <c r="I153" i="1"/>
  <c r="H153" i="1"/>
  <c r="F153" i="1"/>
  <c r="D153" i="1"/>
  <c r="B153" i="1"/>
  <c r="A153" i="1"/>
  <c r="U117" i="1"/>
  <c r="R117" i="1"/>
  <c r="Q117" i="1"/>
  <c r="P117" i="1"/>
  <c r="O117" i="1"/>
  <c r="N117" i="1"/>
  <c r="M117" i="1"/>
  <c r="I117" i="1"/>
  <c r="H117" i="1"/>
  <c r="F117" i="1"/>
  <c r="D117" i="1"/>
  <c r="B117" i="1"/>
  <c r="A117" i="1"/>
  <c r="U160" i="1"/>
  <c r="R160" i="1"/>
  <c r="Q160" i="1"/>
  <c r="P160" i="1"/>
  <c r="O160" i="1"/>
  <c r="N160" i="1"/>
  <c r="M160" i="1"/>
  <c r="I160" i="1"/>
  <c r="H160" i="1"/>
  <c r="F160" i="1"/>
  <c r="D160" i="1"/>
  <c r="B160" i="1"/>
  <c r="A160" i="1"/>
  <c r="U162" i="1"/>
  <c r="R162" i="1"/>
  <c r="Q162" i="1"/>
  <c r="P162" i="1"/>
  <c r="O162" i="1"/>
  <c r="N162" i="1"/>
  <c r="M162" i="1"/>
  <c r="I162" i="1"/>
  <c r="H162" i="1"/>
  <c r="F162" i="1"/>
  <c r="D162" i="1"/>
  <c r="B162" i="1"/>
  <c r="A162" i="1"/>
  <c r="U161" i="1"/>
  <c r="R161" i="1"/>
  <c r="Q161" i="1"/>
  <c r="P161" i="1"/>
  <c r="O161" i="1"/>
  <c r="N161" i="1"/>
  <c r="M161" i="1"/>
  <c r="J161" i="1"/>
  <c r="I161" i="1"/>
  <c r="H161" i="1"/>
  <c r="F161" i="1"/>
  <c r="D161" i="1"/>
  <c r="B161" i="1"/>
  <c r="A161" i="1"/>
  <c r="U1284" i="1"/>
  <c r="R1284" i="1"/>
  <c r="Q1284" i="1"/>
  <c r="P1284" i="1"/>
  <c r="O1284" i="1"/>
  <c r="N1284" i="1"/>
  <c r="M1284" i="1"/>
  <c r="J1284" i="1"/>
  <c r="I1284" i="1"/>
  <c r="H1284" i="1"/>
  <c r="F1284" i="1"/>
  <c r="E1284" i="1"/>
  <c r="D1284" i="1"/>
  <c r="B1284" i="1"/>
  <c r="A1284" i="1"/>
  <c r="U192" i="1"/>
  <c r="R192" i="1"/>
  <c r="Q192" i="1"/>
  <c r="P192" i="1"/>
  <c r="O192" i="1"/>
  <c r="N192" i="1"/>
  <c r="M192" i="1"/>
  <c r="I192" i="1"/>
  <c r="H192" i="1"/>
  <c r="F192" i="1"/>
  <c r="D192" i="1"/>
  <c r="B192" i="1"/>
  <c r="A192" i="1"/>
  <c r="U224" i="1"/>
  <c r="R224" i="1"/>
  <c r="Q224" i="1"/>
  <c r="P224" i="1"/>
  <c r="O224" i="1"/>
  <c r="N224" i="1"/>
  <c r="M224" i="1"/>
  <c r="I224" i="1"/>
  <c r="H224" i="1"/>
  <c r="F224" i="1"/>
  <c r="D224" i="1"/>
  <c r="B224" i="1"/>
  <c r="A224" i="1"/>
  <c r="U179" i="1"/>
  <c r="R179" i="1"/>
  <c r="Q179" i="1"/>
  <c r="P179" i="1"/>
  <c r="O179" i="1"/>
  <c r="N179" i="1"/>
  <c r="M179" i="1"/>
  <c r="J179" i="1"/>
  <c r="I179" i="1"/>
  <c r="H179" i="1"/>
  <c r="F179" i="1"/>
  <c r="D179" i="1"/>
  <c r="B179" i="1"/>
  <c r="A179" i="1"/>
  <c r="U211" i="1"/>
  <c r="R211" i="1"/>
  <c r="Q211" i="1"/>
  <c r="P211" i="1"/>
  <c r="O211" i="1"/>
  <c r="N211" i="1"/>
  <c r="M211" i="1"/>
  <c r="I211" i="1"/>
  <c r="H211" i="1"/>
  <c r="F211" i="1"/>
  <c r="D211" i="1"/>
  <c r="B211" i="1"/>
  <c r="A211" i="1"/>
  <c r="U281" i="1"/>
  <c r="R281" i="1"/>
  <c r="Q281" i="1"/>
  <c r="P281" i="1"/>
  <c r="O281" i="1"/>
  <c r="N281" i="1"/>
  <c r="M281" i="1"/>
  <c r="J281" i="1"/>
  <c r="I281" i="1"/>
  <c r="H281" i="1"/>
  <c r="F281" i="1"/>
  <c r="D281" i="1"/>
  <c r="A281" i="1"/>
  <c r="U400" i="1"/>
  <c r="R400" i="1"/>
  <c r="Q400" i="1"/>
  <c r="P400" i="1"/>
  <c r="O400" i="1"/>
  <c r="N400" i="1"/>
  <c r="M400" i="1"/>
  <c r="I400" i="1"/>
  <c r="H400" i="1"/>
  <c r="F400" i="1"/>
  <c r="D400" i="1"/>
  <c r="B400" i="1"/>
  <c r="A400" i="1"/>
  <c r="U171" i="1"/>
  <c r="R171" i="1"/>
  <c r="Q171" i="1"/>
  <c r="P171" i="1"/>
  <c r="O171" i="1"/>
  <c r="N171" i="1"/>
  <c r="M171" i="1"/>
  <c r="I171" i="1"/>
  <c r="H171" i="1"/>
  <c r="F171" i="1"/>
  <c r="D171" i="1"/>
  <c r="B171" i="1"/>
  <c r="A171" i="1"/>
  <c r="U464" i="1"/>
  <c r="R464" i="1"/>
  <c r="Q464" i="1"/>
  <c r="P464" i="1"/>
  <c r="O464" i="1"/>
  <c r="N464" i="1"/>
  <c r="M464" i="1"/>
  <c r="J464" i="1"/>
  <c r="I464" i="1"/>
  <c r="H464" i="1"/>
  <c r="G464" i="1"/>
  <c r="F464" i="1"/>
  <c r="E464" i="1"/>
  <c r="D464" i="1"/>
  <c r="B464" i="1"/>
  <c r="A464" i="1"/>
  <c r="U239" i="1"/>
  <c r="R239" i="1"/>
  <c r="Q239" i="1"/>
  <c r="P239" i="1"/>
  <c r="O239" i="1"/>
  <c r="N239" i="1"/>
  <c r="M239" i="1"/>
  <c r="J239" i="1"/>
  <c r="I239" i="1"/>
  <c r="H239" i="1"/>
  <c r="F239" i="1"/>
  <c r="D239" i="1"/>
  <c r="B239" i="1"/>
  <c r="A239" i="1"/>
  <c r="U200" i="1"/>
  <c r="R200" i="1"/>
  <c r="Q200" i="1"/>
  <c r="P200" i="1"/>
  <c r="O200" i="1"/>
  <c r="N200" i="1"/>
  <c r="M200" i="1"/>
  <c r="I200" i="1"/>
  <c r="H200" i="1"/>
  <c r="F200" i="1"/>
  <c r="E200" i="1"/>
  <c r="D200" i="1"/>
  <c r="B200" i="1"/>
  <c r="A200" i="1"/>
  <c r="U381" i="1"/>
  <c r="R381" i="1"/>
  <c r="Q381" i="1"/>
  <c r="P381" i="1"/>
  <c r="O381" i="1"/>
  <c r="N381" i="1"/>
  <c r="M381" i="1"/>
  <c r="I381" i="1"/>
  <c r="H381" i="1"/>
  <c r="F381" i="1"/>
  <c r="D381" i="1"/>
  <c r="B381" i="1"/>
  <c r="A381" i="1"/>
  <c r="U498" i="1"/>
  <c r="R498" i="1"/>
  <c r="Q498" i="1"/>
  <c r="P498" i="1"/>
  <c r="O498" i="1"/>
  <c r="N498" i="1"/>
  <c r="M498" i="1"/>
  <c r="I498" i="1"/>
  <c r="H498" i="1"/>
  <c r="F498" i="1"/>
  <c r="D498" i="1"/>
  <c r="B498" i="1"/>
  <c r="A498" i="1"/>
  <c r="U365" i="1"/>
  <c r="R365" i="1"/>
  <c r="Q365" i="1"/>
  <c r="P365" i="1"/>
  <c r="O365" i="1"/>
  <c r="N365" i="1"/>
  <c r="M365" i="1"/>
  <c r="I365" i="1"/>
  <c r="H365" i="1"/>
  <c r="F365" i="1"/>
  <c r="D365" i="1"/>
  <c r="B365" i="1"/>
  <c r="A365" i="1"/>
  <c r="U535" i="1"/>
  <c r="R535" i="1"/>
  <c r="Q535" i="1"/>
  <c r="P535" i="1"/>
  <c r="O535" i="1"/>
  <c r="N535" i="1"/>
  <c r="M535" i="1"/>
  <c r="I535" i="1"/>
  <c r="H535" i="1"/>
  <c r="F535" i="1"/>
  <c r="D535" i="1"/>
  <c r="B535" i="1"/>
  <c r="A535" i="1"/>
  <c r="U600" i="1"/>
  <c r="R600" i="1"/>
  <c r="Q600" i="1"/>
  <c r="P600" i="1"/>
  <c r="O600" i="1"/>
  <c r="N600" i="1"/>
  <c r="M600" i="1"/>
  <c r="I600" i="1"/>
  <c r="H600" i="1"/>
  <c r="F600" i="1"/>
  <c r="D600" i="1"/>
  <c r="B600" i="1"/>
  <c r="A600" i="1"/>
  <c r="U754" i="1"/>
  <c r="R754" i="1"/>
  <c r="Q754" i="1"/>
  <c r="P754" i="1"/>
  <c r="O754" i="1"/>
  <c r="N754" i="1"/>
  <c r="M754" i="1"/>
  <c r="J754" i="1"/>
  <c r="I754" i="1"/>
  <c r="H754" i="1"/>
  <c r="F754" i="1"/>
  <c r="D754" i="1"/>
  <c r="B754" i="1"/>
  <c r="A754" i="1"/>
  <c r="U713" i="1"/>
  <c r="R713" i="1"/>
  <c r="Q713" i="1"/>
  <c r="P713" i="1"/>
  <c r="O713" i="1"/>
  <c r="N713" i="1"/>
  <c r="M713" i="1"/>
  <c r="I713" i="1"/>
  <c r="H713" i="1"/>
  <c r="F713" i="1"/>
  <c r="D713" i="1"/>
  <c r="B713" i="1"/>
  <c r="A713" i="1"/>
  <c r="U504" i="1"/>
  <c r="R504" i="1"/>
  <c r="Q504" i="1"/>
  <c r="P504" i="1"/>
  <c r="O504" i="1"/>
  <c r="N504" i="1"/>
  <c r="M504" i="1"/>
  <c r="I504" i="1"/>
  <c r="H504" i="1"/>
  <c r="F504" i="1"/>
  <c r="D504" i="1"/>
  <c r="B504" i="1"/>
  <c r="A504" i="1"/>
  <c r="U527" i="1"/>
  <c r="R527" i="1"/>
  <c r="Q527" i="1"/>
  <c r="P527" i="1"/>
  <c r="O527" i="1"/>
  <c r="N527" i="1"/>
  <c r="M527" i="1"/>
  <c r="J527" i="1"/>
  <c r="I527" i="1"/>
  <c r="H527" i="1"/>
  <c r="F527" i="1"/>
  <c r="E527" i="1"/>
  <c r="D527" i="1"/>
  <c r="A527" i="1"/>
  <c r="U753" i="1"/>
  <c r="R753" i="1"/>
  <c r="Q753" i="1"/>
  <c r="P753" i="1"/>
  <c r="O753" i="1"/>
  <c r="N753" i="1"/>
  <c r="M753" i="1"/>
  <c r="J753" i="1"/>
  <c r="I753" i="1"/>
  <c r="H753" i="1"/>
  <c r="F753" i="1"/>
  <c r="D753" i="1"/>
  <c r="B753" i="1"/>
  <c r="A753" i="1"/>
  <c r="U786" i="1"/>
  <c r="R786" i="1"/>
  <c r="Q786" i="1"/>
  <c r="P786" i="1"/>
  <c r="O786" i="1"/>
  <c r="N786" i="1"/>
  <c r="M786" i="1"/>
  <c r="I786" i="1"/>
  <c r="H786" i="1"/>
  <c r="F786" i="1"/>
  <c r="D786" i="1"/>
  <c r="B786" i="1"/>
  <c r="A786" i="1"/>
  <c r="U789" i="1"/>
  <c r="R789" i="1"/>
  <c r="Q789" i="1"/>
  <c r="P789" i="1"/>
  <c r="O789" i="1"/>
  <c r="N789" i="1"/>
  <c r="M789" i="1"/>
  <c r="I789" i="1"/>
  <c r="H789" i="1"/>
  <c r="F789" i="1"/>
  <c r="D789" i="1"/>
  <c r="B789" i="1"/>
  <c r="A789" i="1"/>
  <c r="U847" i="1"/>
  <c r="R847" i="1"/>
  <c r="Q847" i="1"/>
  <c r="P847" i="1"/>
  <c r="O847" i="1"/>
  <c r="N847" i="1"/>
  <c r="M847" i="1"/>
  <c r="I847" i="1"/>
  <c r="H847" i="1"/>
  <c r="F847" i="1"/>
  <c r="D847" i="1"/>
  <c r="B847" i="1"/>
  <c r="A847" i="1"/>
  <c r="U288" i="1"/>
  <c r="R288" i="1"/>
  <c r="Q288" i="1"/>
  <c r="P288" i="1"/>
  <c r="O288" i="1"/>
  <c r="N288" i="1"/>
  <c r="M288" i="1"/>
  <c r="J288" i="1"/>
  <c r="I288" i="1"/>
  <c r="H288" i="1"/>
  <c r="F288" i="1"/>
  <c r="D288" i="1"/>
  <c r="B288" i="1"/>
  <c r="A288" i="1"/>
  <c r="U752" i="1"/>
  <c r="R752" i="1"/>
  <c r="Q752" i="1"/>
  <c r="P752" i="1"/>
  <c r="O752" i="1"/>
  <c r="N752" i="1"/>
  <c r="M752" i="1"/>
  <c r="I752" i="1"/>
  <c r="H752" i="1"/>
  <c r="F752" i="1"/>
  <c r="D752" i="1"/>
  <c r="B752" i="1"/>
  <c r="A752" i="1"/>
  <c r="U925" i="1"/>
  <c r="R925" i="1"/>
  <c r="Q925" i="1"/>
  <c r="P925" i="1"/>
  <c r="O925" i="1"/>
  <c r="N925" i="1"/>
  <c r="M925" i="1"/>
  <c r="J925" i="1"/>
  <c r="I925" i="1"/>
  <c r="H925" i="1"/>
  <c r="F925" i="1"/>
  <c r="D925" i="1"/>
  <c r="B925" i="1"/>
  <c r="A925" i="1"/>
  <c r="U802" i="1"/>
  <c r="R802" i="1"/>
  <c r="Q802" i="1"/>
  <c r="P802" i="1"/>
  <c r="O802" i="1"/>
  <c r="N802" i="1"/>
  <c r="M802" i="1"/>
  <c r="J802" i="1"/>
  <c r="I802" i="1"/>
  <c r="H802" i="1"/>
  <c r="F802" i="1"/>
  <c r="D802" i="1"/>
  <c r="B802" i="1"/>
  <c r="A802" i="1"/>
  <c r="U978" i="1"/>
  <c r="R978" i="1"/>
  <c r="Q978" i="1"/>
  <c r="P978" i="1"/>
  <c r="O978" i="1"/>
  <c r="N978" i="1"/>
  <c r="M978" i="1"/>
  <c r="I978" i="1"/>
  <c r="H978" i="1"/>
  <c r="F978" i="1"/>
  <c r="D978" i="1"/>
  <c r="B978" i="1"/>
  <c r="A978" i="1"/>
  <c r="U1041" i="1"/>
  <c r="R1041" i="1"/>
  <c r="Q1041" i="1"/>
  <c r="P1041" i="1"/>
  <c r="O1041" i="1"/>
  <c r="N1041" i="1"/>
  <c r="M1041" i="1"/>
  <c r="J1041" i="1"/>
  <c r="I1041" i="1"/>
  <c r="H1041" i="1"/>
  <c r="F1041" i="1"/>
  <c r="D1041" i="1"/>
  <c r="B1041" i="1"/>
  <c r="A1041" i="1"/>
  <c r="U984" i="1"/>
  <c r="R984" i="1"/>
  <c r="Q984" i="1"/>
  <c r="P984" i="1"/>
  <c r="O984" i="1"/>
  <c r="N984" i="1"/>
  <c r="M984" i="1"/>
  <c r="J984" i="1"/>
  <c r="I984" i="1"/>
  <c r="H984" i="1"/>
  <c r="F984" i="1"/>
  <c r="D984" i="1"/>
  <c r="B984" i="1"/>
  <c r="A984" i="1"/>
  <c r="U1029" i="1"/>
  <c r="R1029" i="1"/>
  <c r="Q1029" i="1"/>
  <c r="P1029" i="1"/>
  <c r="O1029" i="1"/>
  <c r="N1029" i="1"/>
  <c r="M1029" i="1"/>
  <c r="J1029" i="1"/>
  <c r="I1029" i="1"/>
  <c r="H1029" i="1"/>
  <c r="F1029" i="1"/>
  <c r="D1029" i="1"/>
  <c r="B1029" i="1"/>
  <c r="A1029" i="1"/>
  <c r="U141" i="1"/>
  <c r="R141" i="1"/>
  <c r="Q141" i="1"/>
  <c r="P141" i="1"/>
  <c r="O141" i="1"/>
  <c r="N141" i="1"/>
  <c r="M141" i="1"/>
  <c r="I141" i="1"/>
  <c r="H141" i="1"/>
  <c r="F141" i="1"/>
  <c r="D141" i="1"/>
  <c r="B141" i="1"/>
  <c r="A141" i="1"/>
  <c r="U983" i="1"/>
  <c r="R983" i="1"/>
  <c r="Q983" i="1"/>
  <c r="P983" i="1"/>
  <c r="O983" i="1"/>
  <c r="N983" i="1"/>
  <c r="M983" i="1"/>
  <c r="J983" i="1"/>
  <c r="I983" i="1"/>
  <c r="H983" i="1"/>
  <c r="F983" i="1"/>
  <c r="D983" i="1"/>
  <c r="B983" i="1"/>
  <c r="A983" i="1"/>
  <c r="U1084" i="1"/>
  <c r="R1084" i="1"/>
  <c r="Q1084" i="1"/>
  <c r="P1084" i="1"/>
  <c r="O1084" i="1"/>
  <c r="N1084" i="1"/>
  <c r="M1084" i="1"/>
  <c r="I1084" i="1"/>
  <c r="H1084" i="1"/>
  <c r="F1084" i="1"/>
  <c r="D1084" i="1"/>
  <c r="B1084" i="1"/>
  <c r="A1084" i="1"/>
  <c r="U1054" i="1"/>
  <c r="R1054" i="1"/>
  <c r="Q1054" i="1"/>
  <c r="P1054" i="1"/>
  <c r="O1054" i="1"/>
  <c r="N1054" i="1"/>
  <c r="M1054" i="1"/>
  <c r="J1054" i="1"/>
  <c r="I1054" i="1"/>
  <c r="H1054" i="1"/>
  <c r="F1054" i="1"/>
  <c r="D1054" i="1"/>
  <c r="B1054" i="1"/>
  <c r="A1054" i="1"/>
  <c r="U93" i="1"/>
  <c r="R93" i="1"/>
  <c r="Q93" i="1"/>
  <c r="P93" i="1"/>
  <c r="O93" i="1"/>
  <c r="N93" i="1"/>
  <c r="M93" i="1"/>
  <c r="J93" i="1"/>
  <c r="I93" i="1"/>
  <c r="H93" i="1"/>
  <c r="F93" i="1"/>
  <c r="D93" i="1"/>
  <c r="B93" i="1"/>
  <c r="A93" i="1"/>
  <c r="U299" i="1"/>
  <c r="R299" i="1"/>
  <c r="Q299" i="1"/>
  <c r="P299" i="1"/>
  <c r="O299" i="1"/>
  <c r="N299" i="1"/>
  <c r="M299" i="1"/>
  <c r="J299" i="1"/>
  <c r="I299" i="1"/>
  <c r="H299" i="1"/>
  <c r="F299" i="1"/>
  <c r="D299" i="1"/>
  <c r="B299" i="1"/>
  <c r="A299" i="1"/>
  <c r="U1193" i="1"/>
  <c r="R1193" i="1"/>
  <c r="Q1193" i="1"/>
  <c r="P1193" i="1"/>
  <c r="O1193" i="1"/>
  <c r="N1193" i="1"/>
  <c r="M1193" i="1"/>
  <c r="J1193" i="1"/>
  <c r="I1193" i="1"/>
  <c r="H1193" i="1"/>
  <c r="F1193" i="1"/>
  <c r="D1193" i="1"/>
  <c r="B1193" i="1"/>
  <c r="A1193" i="1"/>
  <c r="U1192" i="1"/>
  <c r="R1192" i="1"/>
  <c r="Q1192" i="1"/>
  <c r="P1192" i="1"/>
  <c r="O1192" i="1"/>
  <c r="N1192" i="1"/>
  <c r="M1192" i="1"/>
  <c r="J1192" i="1"/>
  <c r="I1192" i="1"/>
  <c r="H1192" i="1"/>
  <c r="F1192" i="1"/>
  <c r="D1192" i="1"/>
  <c r="B1192" i="1"/>
  <c r="A1192" i="1"/>
  <c r="U1191" i="1"/>
  <c r="R1191" i="1"/>
  <c r="Q1191" i="1"/>
  <c r="P1191" i="1"/>
  <c r="O1191" i="1"/>
  <c r="N1191" i="1"/>
  <c r="M1191" i="1"/>
  <c r="I1191" i="1"/>
  <c r="H1191" i="1"/>
  <c r="F1191" i="1"/>
  <c r="D1191" i="1"/>
  <c r="B1191" i="1"/>
  <c r="A1191" i="1"/>
  <c r="U1215" i="1"/>
  <c r="R1215" i="1"/>
  <c r="Q1215" i="1"/>
  <c r="P1215" i="1"/>
  <c r="O1215" i="1"/>
  <c r="N1215" i="1"/>
  <c r="M1215" i="1"/>
  <c r="I1215" i="1"/>
  <c r="H1215" i="1"/>
  <c r="F1215" i="1"/>
  <c r="D1215" i="1"/>
  <c r="B1215" i="1"/>
  <c r="A1215" i="1"/>
  <c r="U1298" i="1"/>
  <c r="R1298" i="1"/>
  <c r="Q1298" i="1"/>
  <c r="P1298" i="1"/>
  <c r="O1298" i="1"/>
  <c r="N1298" i="1"/>
  <c r="M1298" i="1"/>
  <c r="J1298" i="1"/>
  <c r="I1298" i="1"/>
  <c r="H1298" i="1"/>
  <c r="F1298" i="1"/>
  <c r="D1298" i="1"/>
  <c r="B1298" i="1"/>
  <c r="A1298" i="1"/>
  <c r="U1300" i="1"/>
  <c r="R1300" i="1"/>
  <c r="Q1300" i="1"/>
  <c r="P1300" i="1"/>
  <c r="O1300" i="1"/>
  <c r="N1300" i="1"/>
  <c r="M1300" i="1"/>
  <c r="J1300" i="1"/>
  <c r="I1300" i="1"/>
  <c r="H1300" i="1"/>
  <c r="F1300" i="1"/>
  <c r="D1300" i="1"/>
  <c r="B1300" i="1"/>
  <c r="A1300" i="1"/>
  <c r="U1320" i="1"/>
  <c r="R1320" i="1"/>
  <c r="Q1320" i="1"/>
  <c r="P1320" i="1"/>
  <c r="O1320" i="1"/>
  <c r="N1320" i="1"/>
  <c r="M1320" i="1"/>
  <c r="I1320" i="1"/>
  <c r="H1320" i="1"/>
  <c r="F1320" i="1"/>
  <c r="D1320" i="1"/>
  <c r="B1320" i="1"/>
  <c r="A1320" i="1"/>
  <c r="U1355" i="1"/>
  <c r="R1355" i="1"/>
  <c r="Q1355" i="1"/>
  <c r="P1355" i="1"/>
  <c r="O1355" i="1"/>
  <c r="N1355" i="1"/>
  <c r="M1355" i="1"/>
  <c r="J1355" i="1"/>
  <c r="I1355" i="1"/>
  <c r="H1355" i="1"/>
  <c r="F1355" i="1"/>
  <c r="D1355" i="1"/>
  <c r="B1355" i="1"/>
  <c r="A1355" i="1"/>
  <c r="U1348" i="1"/>
  <c r="R1348" i="1"/>
  <c r="Q1348" i="1"/>
  <c r="P1348" i="1"/>
  <c r="O1348" i="1"/>
  <c r="N1348" i="1"/>
  <c r="M1348" i="1"/>
  <c r="J1348" i="1"/>
  <c r="I1348" i="1"/>
  <c r="H1348" i="1"/>
  <c r="F1348" i="1"/>
  <c r="D1348" i="1"/>
  <c r="B1348" i="1"/>
  <c r="A1348" i="1"/>
  <c r="U1387" i="1"/>
  <c r="R1387" i="1"/>
  <c r="Q1387" i="1"/>
  <c r="P1387" i="1"/>
  <c r="O1387" i="1"/>
  <c r="N1387" i="1"/>
  <c r="M1387" i="1"/>
  <c r="J1387" i="1"/>
  <c r="I1387" i="1"/>
  <c r="H1387" i="1"/>
  <c r="F1387" i="1"/>
  <c r="D1387" i="1"/>
  <c r="B1387" i="1"/>
  <c r="A1387" i="1"/>
  <c r="U1378" i="1"/>
  <c r="R1378" i="1"/>
  <c r="Q1378" i="1"/>
  <c r="P1378" i="1"/>
  <c r="O1378" i="1"/>
  <c r="N1378" i="1"/>
  <c r="M1378" i="1"/>
  <c r="I1378" i="1"/>
  <c r="H1378" i="1"/>
  <c r="F1378" i="1"/>
  <c r="D1378" i="1"/>
  <c r="B1378" i="1"/>
  <c r="A1378" i="1"/>
  <c r="U140" i="1"/>
  <c r="R140" i="1"/>
  <c r="Q140" i="1"/>
  <c r="P140" i="1"/>
  <c r="O140" i="1"/>
  <c r="N140" i="1"/>
  <c r="M140" i="1"/>
  <c r="J140" i="1"/>
  <c r="I140" i="1"/>
  <c r="H140" i="1"/>
  <c r="F140" i="1"/>
  <c r="E140" i="1"/>
  <c r="D140" i="1"/>
  <c r="B140" i="1"/>
  <c r="A140" i="1"/>
  <c r="U1458" i="1"/>
  <c r="R1458" i="1"/>
  <c r="Q1458" i="1"/>
  <c r="P1458" i="1"/>
  <c r="O1458" i="1"/>
  <c r="N1458" i="1"/>
  <c r="M1458" i="1"/>
  <c r="J1458" i="1"/>
  <c r="I1458" i="1"/>
  <c r="H1458" i="1"/>
  <c r="F1458" i="1"/>
  <c r="D1458" i="1"/>
  <c r="B1458" i="1"/>
  <c r="A1458" i="1"/>
  <c r="U1462" i="1"/>
  <c r="R1462" i="1"/>
  <c r="Q1462" i="1"/>
  <c r="P1462" i="1"/>
  <c r="O1462" i="1"/>
  <c r="N1462" i="1"/>
  <c r="M1462" i="1"/>
  <c r="J1462" i="1"/>
  <c r="I1462" i="1"/>
  <c r="H1462" i="1"/>
  <c r="F1462" i="1"/>
  <c r="D1462" i="1"/>
  <c r="B1462" i="1"/>
  <c r="A1462" i="1"/>
  <c r="U1506" i="1"/>
  <c r="R1506" i="1"/>
  <c r="Q1506" i="1"/>
  <c r="P1506" i="1"/>
  <c r="O1506" i="1"/>
  <c r="N1506" i="1"/>
  <c r="M1506" i="1"/>
  <c r="I1506" i="1"/>
  <c r="H1506" i="1"/>
  <c r="F1506" i="1"/>
  <c r="D1506" i="1"/>
  <c r="B1506" i="1"/>
  <c r="A1506" i="1"/>
  <c r="U1466" i="1"/>
  <c r="R1466" i="1"/>
  <c r="Q1466" i="1"/>
  <c r="P1466" i="1"/>
  <c r="O1466" i="1"/>
  <c r="N1466" i="1"/>
  <c r="M1466" i="1"/>
  <c r="I1466" i="1"/>
  <c r="H1466" i="1"/>
  <c r="F1466" i="1"/>
  <c r="D1466" i="1"/>
  <c r="B1466" i="1"/>
  <c r="A1466" i="1"/>
  <c r="U1448" i="1"/>
  <c r="R1448" i="1"/>
  <c r="Q1448" i="1"/>
  <c r="P1448" i="1"/>
  <c r="O1448" i="1"/>
  <c r="N1448" i="1"/>
  <c r="M1448" i="1"/>
  <c r="I1448" i="1"/>
  <c r="H1448" i="1"/>
  <c r="F1448" i="1"/>
  <c r="D1448" i="1"/>
  <c r="A1448" i="1"/>
  <c r="U1461" i="1"/>
  <c r="R1461" i="1"/>
  <c r="Q1461" i="1"/>
  <c r="P1461" i="1"/>
  <c r="O1461" i="1"/>
  <c r="N1461" i="1"/>
  <c r="M1461" i="1"/>
  <c r="J1461" i="1"/>
  <c r="I1461" i="1"/>
  <c r="H1461" i="1"/>
  <c r="F1461" i="1"/>
  <c r="D1461" i="1"/>
  <c r="B1461" i="1"/>
  <c r="A1461" i="1"/>
  <c r="U1395" i="1"/>
  <c r="R1395" i="1"/>
  <c r="Q1395" i="1"/>
  <c r="P1395" i="1"/>
  <c r="O1395" i="1"/>
  <c r="N1395" i="1"/>
  <c r="M1395" i="1"/>
  <c r="I1395" i="1"/>
  <c r="H1395" i="1"/>
  <c r="F1395" i="1"/>
  <c r="D1395" i="1"/>
  <c r="B1395" i="1"/>
  <c r="A1395" i="1"/>
  <c r="U1592" i="1"/>
  <c r="R1592" i="1"/>
  <c r="Q1592" i="1"/>
  <c r="P1592" i="1"/>
  <c r="O1592" i="1"/>
  <c r="N1592" i="1"/>
  <c r="M1592" i="1"/>
  <c r="J1592" i="1"/>
  <c r="I1592" i="1"/>
  <c r="H1592" i="1"/>
  <c r="F1592" i="1"/>
  <c r="D1592" i="1"/>
  <c r="B1592" i="1"/>
  <c r="A1592" i="1"/>
  <c r="U1591" i="1"/>
  <c r="R1591" i="1"/>
  <c r="Q1591" i="1"/>
  <c r="P1591" i="1"/>
  <c r="O1591" i="1"/>
  <c r="N1591" i="1"/>
  <c r="M1591" i="1"/>
  <c r="J1591" i="1"/>
  <c r="I1591" i="1"/>
  <c r="H1591" i="1"/>
  <c r="G1591" i="1"/>
  <c r="F1591" i="1"/>
  <c r="D1591" i="1"/>
  <c r="A1591" i="1"/>
  <c r="U1590" i="1"/>
  <c r="R1590" i="1"/>
  <c r="Q1590" i="1"/>
  <c r="P1590" i="1"/>
  <c r="O1590" i="1"/>
  <c r="N1590" i="1"/>
  <c r="M1590" i="1"/>
  <c r="J1590" i="1"/>
  <c r="I1590" i="1"/>
  <c r="H1590" i="1"/>
  <c r="F1590" i="1"/>
  <c r="D1590" i="1"/>
  <c r="A1590" i="1"/>
  <c r="U1589" i="1"/>
  <c r="R1589" i="1"/>
  <c r="Q1589" i="1"/>
  <c r="P1589" i="1"/>
  <c r="O1589" i="1"/>
  <c r="N1589" i="1"/>
  <c r="M1589" i="1"/>
  <c r="J1589" i="1"/>
  <c r="I1589" i="1"/>
  <c r="H1589" i="1"/>
  <c r="F1589" i="1"/>
  <c r="D1589" i="1"/>
  <c r="A1589" i="1"/>
  <c r="U1814" i="1"/>
  <c r="R1814" i="1"/>
  <c r="Q1814" i="1"/>
  <c r="P1814" i="1"/>
  <c r="O1814" i="1"/>
  <c r="N1814" i="1"/>
  <c r="M1814" i="1"/>
  <c r="J1814" i="1"/>
  <c r="I1814" i="1"/>
  <c r="H1814" i="1"/>
  <c r="F1814" i="1"/>
  <c r="D1814" i="1"/>
  <c r="B1814" i="1"/>
  <c r="A1814" i="1"/>
  <c r="U1843" i="1"/>
  <c r="R1843" i="1"/>
  <c r="Q1843" i="1"/>
  <c r="P1843" i="1"/>
  <c r="O1843" i="1"/>
  <c r="N1843" i="1"/>
  <c r="M1843" i="1"/>
  <c r="J1843" i="1"/>
  <c r="I1843" i="1"/>
  <c r="H1843" i="1"/>
  <c r="F1843" i="1"/>
  <c r="D1843" i="1"/>
  <c r="A1843" i="1"/>
  <c r="U1862" i="1"/>
  <c r="R1862" i="1"/>
  <c r="Q1862" i="1"/>
  <c r="P1862" i="1"/>
  <c r="O1862" i="1"/>
  <c r="N1862" i="1"/>
  <c r="M1862" i="1"/>
  <c r="J1862" i="1"/>
  <c r="I1862" i="1"/>
  <c r="H1862" i="1"/>
  <c r="F1862" i="1"/>
  <c r="D1862" i="1"/>
  <c r="B1862" i="1"/>
  <c r="A1862" i="1"/>
  <c r="U1922" i="1"/>
  <c r="R1922" i="1"/>
  <c r="Q1922" i="1"/>
  <c r="P1922" i="1"/>
  <c r="O1922" i="1"/>
  <c r="N1922" i="1"/>
  <c r="M1922" i="1"/>
  <c r="J1922" i="1"/>
  <c r="I1922" i="1"/>
  <c r="H1922" i="1"/>
  <c r="F1922" i="1"/>
  <c r="D1922" i="1"/>
  <c r="B1922" i="1"/>
  <c r="A1922" i="1"/>
  <c r="U1992" i="1"/>
  <c r="R1992" i="1"/>
  <c r="Q1992" i="1"/>
  <c r="P1992" i="1"/>
  <c r="O1992" i="1"/>
  <c r="N1992" i="1"/>
  <c r="M1992" i="1"/>
  <c r="I1992" i="1"/>
  <c r="H1992" i="1"/>
  <c r="F1992" i="1"/>
  <c r="D1992" i="1"/>
  <c r="B1992" i="1"/>
  <c r="A1992" i="1"/>
  <c r="U2021" i="1"/>
  <c r="R2021" i="1"/>
  <c r="Q2021" i="1"/>
  <c r="P2021" i="1"/>
  <c r="O2021" i="1"/>
  <c r="N2021" i="1"/>
  <c r="M2021" i="1"/>
  <c r="I2021" i="1"/>
  <c r="H2021" i="1"/>
  <c r="F2021" i="1"/>
  <c r="D2021" i="1"/>
  <c r="A2021" i="1"/>
  <c r="U2085" i="1"/>
  <c r="R2085" i="1"/>
  <c r="Q2085" i="1"/>
  <c r="P2085" i="1"/>
  <c r="O2085" i="1"/>
  <c r="N2085" i="1"/>
  <c r="M2085" i="1"/>
  <c r="J2085" i="1"/>
  <c r="I2085" i="1"/>
  <c r="H2085" i="1"/>
  <c r="F2085" i="1"/>
  <c r="D2085" i="1"/>
  <c r="A2085" i="1"/>
  <c r="U2740" i="1"/>
  <c r="R2740" i="1"/>
  <c r="Q2740" i="1"/>
  <c r="P2740" i="1"/>
  <c r="O2740" i="1"/>
  <c r="N2740" i="1"/>
  <c r="M2740" i="1"/>
  <c r="K2740" i="1"/>
  <c r="J2740" i="1"/>
  <c r="I2740" i="1"/>
  <c r="H2740" i="1"/>
  <c r="F2740" i="1"/>
  <c r="D2740" i="1"/>
  <c r="B2740" i="1"/>
  <c r="A2740" i="1"/>
  <c r="U2050" i="1"/>
  <c r="R2050" i="1"/>
  <c r="Q2050" i="1"/>
  <c r="P2050" i="1"/>
  <c r="O2050" i="1"/>
  <c r="N2050" i="1"/>
  <c r="M2050" i="1"/>
  <c r="J2050" i="1"/>
  <c r="I2050" i="1"/>
  <c r="H2050" i="1"/>
  <c r="F2050" i="1"/>
  <c r="D2050" i="1"/>
  <c r="B2050" i="1"/>
  <c r="A2050" i="1"/>
  <c r="U2290" i="1"/>
  <c r="R2290" i="1"/>
  <c r="Q2290" i="1"/>
  <c r="P2290" i="1"/>
  <c r="O2290" i="1"/>
  <c r="N2290" i="1"/>
  <c r="M2290" i="1"/>
  <c r="K2290" i="1"/>
  <c r="J2290" i="1"/>
  <c r="I2290" i="1"/>
  <c r="H2290" i="1"/>
  <c r="G2290" i="1"/>
  <c r="F2290" i="1"/>
  <c r="D2290" i="1"/>
  <c r="B2290" i="1"/>
  <c r="A2290" i="1"/>
  <c r="U2292" i="1"/>
  <c r="R2292" i="1"/>
  <c r="Q2292" i="1"/>
  <c r="P2292" i="1"/>
  <c r="O2292" i="1"/>
  <c r="N2292" i="1"/>
  <c r="M2292" i="1"/>
  <c r="K2292" i="1"/>
  <c r="J2292" i="1"/>
  <c r="I2292" i="1"/>
  <c r="H2292" i="1"/>
  <c r="F2292" i="1"/>
  <c r="D2292" i="1"/>
  <c r="B2292" i="1"/>
  <c r="A2292" i="1"/>
  <c r="U2155" i="1"/>
  <c r="R2155" i="1"/>
  <c r="Q2155" i="1"/>
  <c r="P2155" i="1"/>
  <c r="O2155" i="1"/>
  <c r="N2155" i="1"/>
  <c r="M2155" i="1"/>
  <c r="K2155" i="1"/>
  <c r="J2155" i="1"/>
  <c r="I2155" i="1"/>
  <c r="H2155" i="1"/>
  <c r="F2155" i="1"/>
  <c r="E2155" i="1"/>
  <c r="D2155" i="1"/>
  <c r="B2155" i="1"/>
  <c r="A2155" i="1"/>
  <c r="U2187" i="1"/>
  <c r="R2187" i="1"/>
  <c r="Q2187" i="1"/>
  <c r="P2187" i="1"/>
  <c r="O2187" i="1"/>
  <c r="N2187" i="1"/>
  <c r="M2187" i="1"/>
  <c r="K2187" i="1"/>
  <c r="J2187" i="1"/>
  <c r="I2187" i="1"/>
  <c r="H2187" i="1"/>
  <c r="G2187" i="1"/>
  <c r="F2187" i="1"/>
  <c r="E2187" i="1"/>
  <c r="D2187" i="1"/>
  <c r="A2187" i="1"/>
  <c r="U1909" i="1"/>
  <c r="R1909" i="1"/>
  <c r="Q1909" i="1"/>
  <c r="P1909" i="1"/>
  <c r="O1909" i="1"/>
  <c r="N1909" i="1"/>
  <c r="M1909" i="1"/>
  <c r="K1909" i="1"/>
  <c r="J1909" i="1"/>
  <c r="I1909" i="1"/>
  <c r="H1909" i="1"/>
  <c r="F1909" i="1"/>
  <c r="D1909" i="1"/>
  <c r="B1909" i="1"/>
  <c r="A1909" i="1"/>
  <c r="U1892" i="1"/>
  <c r="R1892" i="1"/>
  <c r="Q1892" i="1"/>
  <c r="P1892" i="1"/>
  <c r="O1892" i="1"/>
  <c r="N1892" i="1"/>
  <c r="M1892" i="1"/>
  <c r="K1892" i="1"/>
  <c r="J1892" i="1"/>
  <c r="I1892" i="1"/>
  <c r="H1892" i="1"/>
  <c r="F1892" i="1"/>
  <c r="D1892" i="1"/>
  <c r="B1892" i="1"/>
  <c r="A1892" i="1"/>
  <c r="U1894" i="1"/>
  <c r="R1894" i="1"/>
  <c r="Q1894" i="1"/>
  <c r="P1894" i="1"/>
  <c r="O1894" i="1"/>
  <c r="N1894" i="1"/>
  <c r="M1894" i="1"/>
  <c r="K1894" i="1"/>
  <c r="J1894" i="1"/>
  <c r="I1894" i="1"/>
  <c r="H1894" i="1"/>
  <c r="F1894" i="1"/>
  <c r="D1894" i="1"/>
  <c r="B1894" i="1"/>
  <c r="A1894" i="1"/>
  <c r="U2600" i="1"/>
  <c r="R2600" i="1"/>
  <c r="Q2600" i="1"/>
  <c r="P2600" i="1"/>
  <c r="O2600" i="1"/>
  <c r="N2600" i="1"/>
  <c r="M2600" i="1"/>
  <c r="K2600" i="1"/>
  <c r="J2600" i="1"/>
  <c r="I2600" i="1"/>
  <c r="H2600" i="1"/>
  <c r="F2600" i="1"/>
  <c r="D2600" i="1"/>
  <c r="B2600" i="1"/>
  <c r="A2600" i="1"/>
  <c r="U2125" i="1"/>
  <c r="R2125" i="1"/>
  <c r="Q2125" i="1"/>
  <c r="P2125" i="1"/>
  <c r="O2125" i="1"/>
  <c r="N2125" i="1"/>
  <c r="M2125" i="1"/>
  <c r="K2125" i="1"/>
  <c r="J2125" i="1"/>
  <c r="I2125" i="1"/>
  <c r="H2125" i="1"/>
  <c r="F2125" i="1"/>
  <c r="D2125" i="1"/>
  <c r="B2125" i="1"/>
  <c r="A2125" i="1"/>
  <c r="U48" i="1"/>
  <c r="R48" i="1"/>
  <c r="Q48" i="1"/>
  <c r="P48" i="1"/>
  <c r="O48" i="1"/>
  <c r="N48" i="1"/>
  <c r="M48" i="1"/>
  <c r="J48" i="1"/>
  <c r="I48" i="1"/>
  <c r="H48" i="1"/>
  <c r="F48" i="1"/>
  <c r="D48" i="1"/>
  <c r="B48" i="1"/>
  <c r="A48" i="1"/>
  <c r="U128" i="1"/>
  <c r="R128" i="1"/>
  <c r="Q128" i="1"/>
  <c r="P128" i="1"/>
  <c r="O128" i="1"/>
  <c r="N128" i="1"/>
  <c r="M128" i="1"/>
  <c r="J128" i="1"/>
  <c r="I128" i="1"/>
  <c r="H128" i="1"/>
  <c r="F128" i="1"/>
  <c r="D128" i="1"/>
  <c r="B128" i="1"/>
  <c r="A128" i="1"/>
  <c r="U188" i="1"/>
  <c r="R188" i="1"/>
  <c r="Q188" i="1"/>
  <c r="P188" i="1"/>
  <c r="O188" i="1"/>
  <c r="N188" i="1"/>
  <c r="M188" i="1"/>
  <c r="J188" i="1"/>
  <c r="I188" i="1"/>
  <c r="H188" i="1"/>
  <c r="F188" i="1"/>
  <c r="D188" i="1"/>
  <c r="B188" i="1"/>
  <c r="A188" i="1"/>
  <c r="U251" i="1"/>
  <c r="R251" i="1"/>
  <c r="Q251" i="1"/>
  <c r="P251" i="1"/>
  <c r="O251" i="1"/>
  <c r="N251" i="1"/>
  <c r="M251" i="1"/>
  <c r="J251" i="1"/>
  <c r="I251" i="1"/>
  <c r="H251" i="1"/>
  <c r="F251" i="1"/>
  <c r="D251" i="1"/>
  <c r="B251" i="1"/>
  <c r="A251" i="1"/>
  <c r="U272" i="1"/>
  <c r="R272" i="1"/>
  <c r="Q272" i="1"/>
  <c r="P272" i="1"/>
  <c r="O272" i="1"/>
  <c r="N272" i="1"/>
  <c r="M272" i="1"/>
  <c r="J272" i="1"/>
  <c r="I272" i="1"/>
  <c r="H272" i="1"/>
  <c r="F272" i="1"/>
  <c r="D272" i="1"/>
  <c r="B272" i="1"/>
  <c r="A272" i="1"/>
  <c r="U212" i="1"/>
  <c r="R212" i="1"/>
  <c r="Q212" i="1"/>
  <c r="P212" i="1"/>
  <c r="O212" i="1"/>
  <c r="N212" i="1"/>
  <c r="M212" i="1"/>
  <c r="J212" i="1"/>
  <c r="I212" i="1"/>
  <c r="H212" i="1"/>
  <c r="F212" i="1"/>
  <c r="D212" i="1"/>
  <c r="B212" i="1"/>
  <c r="A212" i="1"/>
  <c r="U928" i="1"/>
  <c r="R928" i="1"/>
  <c r="Q928" i="1"/>
  <c r="P928" i="1"/>
  <c r="O928" i="1"/>
  <c r="N928" i="1"/>
  <c r="M928" i="1"/>
  <c r="K928" i="1"/>
  <c r="J928" i="1"/>
  <c r="I928" i="1"/>
  <c r="H928" i="1"/>
  <c r="F928" i="1"/>
  <c r="D928" i="1"/>
  <c r="B928" i="1"/>
  <c r="A928" i="1"/>
  <c r="U1064" i="1"/>
  <c r="R1064" i="1"/>
  <c r="Q1064" i="1"/>
  <c r="P1064" i="1"/>
  <c r="O1064" i="1"/>
  <c r="N1064" i="1"/>
  <c r="M1064" i="1"/>
  <c r="J1064" i="1"/>
  <c r="I1064" i="1"/>
  <c r="H1064" i="1"/>
  <c r="F1064" i="1"/>
  <c r="D1064" i="1"/>
  <c r="B1064" i="1"/>
  <c r="A1064" i="1"/>
  <c r="U1501" i="1"/>
  <c r="R1501" i="1"/>
  <c r="Q1501" i="1"/>
  <c r="P1501" i="1"/>
  <c r="O1501" i="1"/>
  <c r="N1501" i="1"/>
  <c r="M1501" i="1"/>
  <c r="I1501" i="1"/>
  <c r="H1501" i="1"/>
  <c r="F1501" i="1"/>
  <c r="D1501" i="1"/>
  <c r="B1501" i="1"/>
  <c r="A1501" i="1"/>
  <c r="U1540" i="1"/>
  <c r="R1540" i="1"/>
  <c r="Q1540" i="1"/>
  <c r="P1540" i="1"/>
  <c r="O1540" i="1"/>
  <c r="N1540" i="1"/>
  <c r="M1540" i="1"/>
  <c r="J1540" i="1"/>
  <c r="I1540" i="1"/>
  <c r="H1540" i="1"/>
  <c r="F1540" i="1"/>
  <c r="D1540" i="1"/>
  <c r="B1540" i="1"/>
  <c r="A1540" i="1"/>
  <c r="U1833" i="1"/>
  <c r="R1833" i="1"/>
  <c r="Q1833" i="1"/>
  <c r="P1833" i="1"/>
  <c r="O1833" i="1"/>
  <c r="N1833" i="1"/>
  <c r="M1833" i="1"/>
  <c r="K1833" i="1"/>
  <c r="J1833" i="1"/>
  <c r="I1833" i="1"/>
  <c r="H1833" i="1"/>
  <c r="F1833" i="1"/>
  <c r="D1833" i="1"/>
  <c r="B1833" i="1"/>
  <c r="A1833" i="1"/>
  <c r="U1951" i="1"/>
  <c r="R1951" i="1"/>
  <c r="Q1951" i="1"/>
  <c r="P1951" i="1"/>
  <c r="O1951" i="1"/>
  <c r="N1951" i="1"/>
  <c r="M1951" i="1"/>
  <c r="K1951" i="1"/>
  <c r="J1951" i="1"/>
  <c r="I1951" i="1"/>
  <c r="H1951" i="1"/>
  <c r="F1951" i="1"/>
  <c r="D1951" i="1"/>
  <c r="B1951" i="1"/>
  <c r="A1951" i="1"/>
  <c r="U2102" i="1"/>
  <c r="R2102" i="1"/>
  <c r="Q2102" i="1"/>
  <c r="P2102" i="1"/>
  <c r="O2102" i="1"/>
  <c r="N2102" i="1"/>
  <c r="M2102" i="1"/>
  <c r="K2102" i="1"/>
  <c r="J2102" i="1"/>
  <c r="I2102" i="1"/>
  <c r="H2102" i="1"/>
  <c r="F2102" i="1"/>
  <c r="D2102" i="1"/>
  <c r="B2102" i="1"/>
  <c r="A2102" i="1"/>
  <c r="U2172" i="1"/>
  <c r="R2172" i="1"/>
  <c r="Q2172" i="1"/>
  <c r="P2172" i="1"/>
  <c r="O2172" i="1"/>
  <c r="N2172" i="1"/>
  <c r="M2172" i="1"/>
  <c r="I2172" i="1"/>
  <c r="H2172" i="1"/>
  <c r="F2172" i="1"/>
  <c r="D2172" i="1"/>
  <c r="B2172" i="1"/>
  <c r="A2172" i="1"/>
  <c r="U2171" i="1"/>
  <c r="R2171" i="1"/>
  <c r="Q2171" i="1"/>
  <c r="P2171" i="1"/>
  <c r="O2171" i="1"/>
  <c r="N2171" i="1"/>
  <c r="M2171" i="1"/>
  <c r="K2171" i="1"/>
  <c r="J2171" i="1"/>
  <c r="I2171" i="1"/>
  <c r="H2171" i="1"/>
  <c r="F2171" i="1"/>
  <c r="D2171" i="1"/>
  <c r="B2171" i="1"/>
  <c r="A2171" i="1"/>
  <c r="U3185" i="1"/>
  <c r="R3185" i="1"/>
  <c r="Q3185" i="1"/>
  <c r="P3185" i="1"/>
  <c r="O3185" i="1"/>
  <c r="N3185" i="1"/>
  <c r="M3185" i="1"/>
  <c r="J3185" i="1"/>
  <c r="I3185" i="1"/>
  <c r="H3185" i="1"/>
  <c r="F3185" i="1"/>
  <c r="D3185" i="1"/>
  <c r="B3185" i="1"/>
  <c r="A3185" i="1"/>
  <c r="U2390" i="1"/>
  <c r="R2390" i="1"/>
  <c r="Q2390" i="1"/>
  <c r="P2390" i="1"/>
  <c r="O2390" i="1"/>
  <c r="N2390" i="1"/>
  <c r="M2390" i="1"/>
  <c r="K2390" i="1"/>
  <c r="J2390" i="1"/>
  <c r="I2390" i="1"/>
  <c r="H2390" i="1"/>
  <c r="F2390" i="1"/>
  <c r="D2390" i="1"/>
  <c r="B2390" i="1"/>
  <c r="A2390" i="1"/>
  <c r="U2453" i="1"/>
  <c r="R2453" i="1"/>
  <c r="Q2453" i="1"/>
  <c r="P2453" i="1"/>
  <c r="O2453" i="1"/>
  <c r="N2453" i="1"/>
  <c r="M2453" i="1"/>
  <c r="J2453" i="1"/>
  <c r="I2453" i="1"/>
  <c r="H2453" i="1"/>
  <c r="F2453" i="1"/>
  <c r="D2453" i="1"/>
  <c r="B2453" i="1"/>
  <c r="A2453" i="1"/>
  <c r="U2523" i="1"/>
  <c r="R2523" i="1"/>
  <c r="Q2523" i="1"/>
  <c r="P2523" i="1"/>
  <c r="O2523" i="1"/>
  <c r="N2523" i="1"/>
  <c r="M2523" i="1"/>
  <c r="K2523" i="1"/>
  <c r="J2523" i="1"/>
  <c r="I2523" i="1"/>
  <c r="H2523" i="1"/>
  <c r="F2523" i="1"/>
  <c r="D2523" i="1"/>
  <c r="B2523" i="1"/>
  <c r="A2523" i="1"/>
  <c r="U3002" i="1"/>
  <c r="R3002" i="1"/>
  <c r="Q3002" i="1"/>
  <c r="P3002" i="1"/>
  <c r="O3002" i="1"/>
  <c r="N3002" i="1"/>
  <c r="M3002" i="1"/>
  <c r="J3002" i="1"/>
  <c r="I3002" i="1"/>
  <c r="H3002" i="1"/>
  <c r="F3002" i="1"/>
  <c r="D3002" i="1"/>
  <c r="B3002" i="1"/>
  <c r="A3002" i="1"/>
  <c r="U3239" i="1"/>
  <c r="R3239" i="1"/>
  <c r="Q3239" i="1"/>
  <c r="P3239" i="1"/>
  <c r="O3239" i="1"/>
  <c r="N3239" i="1"/>
  <c r="M3239" i="1"/>
  <c r="J3239" i="1"/>
  <c r="I3239" i="1"/>
  <c r="H3239" i="1"/>
  <c r="G3239" i="1"/>
  <c r="F3239" i="1"/>
  <c r="D3239" i="1"/>
  <c r="B3239" i="1"/>
  <c r="A3239" i="1"/>
  <c r="U2291" i="1"/>
  <c r="R2291" i="1"/>
  <c r="Q2291" i="1"/>
  <c r="P2291" i="1"/>
  <c r="O2291" i="1"/>
  <c r="N2291" i="1"/>
  <c r="M2291" i="1"/>
  <c r="K2291" i="1"/>
  <c r="J2291" i="1"/>
  <c r="I2291" i="1"/>
  <c r="H2291" i="1"/>
  <c r="F2291" i="1"/>
  <c r="D2291" i="1"/>
  <c r="B2291" i="1"/>
  <c r="A2291" i="1"/>
  <c r="U2479" i="1"/>
  <c r="R2479" i="1"/>
  <c r="Q2479" i="1"/>
  <c r="P2479" i="1"/>
  <c r="O2479" i="1"/>
  <c r="N2479" i="1"/>
  <c r="M2479" i="1"/>
  <c r="J2479" i="1"/>
  <c r="I2479" i="1"/>
  <c r="H2479" i="1"/>
  <c r="F2479" i="1"/>
  <c r="D2479" i="1"/>
  <c r="B2479" i="1"/>
  <c r="A2479" i="1"/>
  <c r="U2478" i="1"/>
  <c r="R2478" i="1"/>
  <c r="Q2478" i="1"/>
  <c r="P2478" i="1"/>
  <c r="O2478" i="1"/>
  <c r="N2478" i="1"/>
  <c r="M2478" i="1"/>
  <c r="J2478" i="1"/>
  <c r="I2478" i="1"/>
  <c r="H2478" i="1"/>
  <c r="F2478" i="1"/>
  <c r="D2478" i="1"/>
  <c r="B2478" i="1"/>
  <c r="A2478" i="1"/>
  <c r="U3248" i="1"/>
  <c r="R3248" i="1"/>
  <c r="Q3248" i="1"/>
  <c r="P3248" i="1"/>
  <c r="O3248" i="1"/>
  <c r="N3248" i="1"/>
  <c r="M3248" i="1"/>
  <c r="K3248" i="1"/>
  <c r="J3248" i="1"/>
  <c r="I3248" i="1"/>
  <c r="H3248" i="1"/>
  <c r="F3248" i="1"/>
  <c r="D3248" i="1"/>
  <c r="B3248" i="1"/>
  <c r="A3248" i="1"/>
  <c r="U2709" i="1"/>
  <c r="R2709" i="1"/>
  <c r="Q2709" i="1"/>
  <c r="P2709" i="1"/>
  <c r="O2709" i="1"/>
  <c r="N2709" i="1"/>
  <c r="M2709" i="1"/>
  <c r="K2709" i="1"/>
  <c r="J2709" i="1"/>
  <c r="I2709" i="1"/>
  <c r="H2709" i="1"/>
  <c r="F2709" i="1"/>
  <c r="D2709" i="1"/>
  <c r="B2709" i="1"/>
  <c r="A2709" i="1"/>
  <c r="U3238" i="1"/>
  <c r="R3238" i="1"/>
  <c r="Q3238" i="1"/>
  <c r="P3238" i="1"/>
  <c r="O3238" i="1"/>
  <c r="N3238" i="1"/>
  <c r="M3238" i="1"/>
  <c r="K3238" i="1"/>
  <c r="J3238" i="1"/>
  <c r="I3238" i="1"/>
  <c r="H3238" i="1"/>
  <c r="F3238" i="1"/>
  <c r="D3238" i="1"/>
  <c r="B3238" i="1"/>
  <c r="A3238" i="1"/>
  <c r="U2879" i="1"/>
  <c r="R2879" i="1"/>
  <c r="Q2879" i="1"/>
  <c r="P2879" i="1"/>
  <c r="O2879" i="1"/>
  <c r="N2879" i="1"/>
  <c r="M2879" i="1"/>
  <c r="K2879" i="1"/>
  <c r="J2879" i="1"/>
  <c r="I2879" i="1"/>
  <c r="H2879" i="1"/>
  <c r="F2879" i="1"/>
  <c r="E2879" i="1"/>
  <c r="D2879" i="1"/>
  <c r="B2879" i="1"/>
  <c r="A2879" i="1"/>
  <c r="U3211" i="1"/>
  <c r="R3211" i="1"/>
  <c r="Q3211" i="1"/>
  <c r="P3211" i="1"/>
  <c r="O3211" i="1"/>
  <c r="N3211" i="1"/>
  <c r="M3211" i="1"/>
  <c r="K3211" i="1"/>
  <c r="J3211" i="1"/>
  <c r="I3211" i="1"/>
  <c r="H3211" i="1"/>
  <c r="F3211" i="1"/>
  <c r="D3211" i="1"/>
  <c r="B3211" i="1"/>
  <c r="A3211" i="1"/>
  <c r="U2757" i="1"/>
  <c r="R2757" i="1"/>
  <c r="Q2757" i="1"/>
  <c r="P2757" i="1"/>
  <c r="O2757" i="1"/>
  <c r="N2757" i="1"/>
  <c r="M2757" i="1"/>
  <c r="K2757" i="1"/>
  <c r="J2757" i="1"/>
  <c r="I2757" i="1"/>
  <c r="H2757" i="1"/>
  <c r="F2757" i="1"/>
  <c r="D2757" i="1"/>
  <c r="B2757" i="1"/>
  <c r="A2757" i="1"/>
  <c r="U2344" i="1"/>
  <c r="R2344" i="1"/>
  <c r="Q2344" i="1"/>
  <c r="P2344" i="1"/>
  <c r="O2344" i="1"/>
  <c r="N2344" i="1"/>
  <c r="M2344" i="1"/>
  <c r="K2344" i="1"/>
  <c r="J2344" i="1"/>
  <c r="I2344" i="1"/>
  <c r="H2344" i="1"/>
  <c r="F2344" i="1"/>
  <c r="D2344" i="1"/>
  <c r="B2344" i="1"/>
  <c r="A2344" i="1"/>
  <c r="U3173" i="1"/>
  <c r="R3173" i="1"/>
  <c r="Q3173" i="1"/>
  <c r="P3173" i="1"/>
  <c r="O3173" i="1"/>
  <c r="N3173" i="1"/>
  <c r="M3173" i="1"/>
  <c r="K3173" i="1"/>
  <c r="J3173" i="1"/>
  <c r="I3173" i="1"/>
  <c r="H3173" i="1"/>
  <c r="F3173" i="1"/>
  <c r="D3173" i="1"/>
  <c r="B3173" i="1"/>
  <c r="A3173" i="1"/>
  <c r="U2930" i="1"/>
  <c r="R2930" i="1"/>
  <c r="Q2930" i="1"/>
  <c r="P2930" i="1"/>
  <c r="O2930" i="1"/>
  <c r="N2930" i="1"/>
  <c r="M2930" i="1"/>
  <c r="K2930" i="1"/>
  <c r="J2930" i="1"/>
  <c r="I2930" i="1"/>
  <c r="H2930" i="1"/>
  <c r="F2930" i="1"/>
  <c r="D2930" i="1"/>
  <c r="B2930" i="1"/>
  <c r="A2930" i="1"/>
  <c r="U2765" i="1"/>
  <c r="R2765" i="1"/>
  <c r="Q2765" i="1"/>
  <c r="P2765" i="1"/>
  <c r="O2765" i="1"/>
  <c r="N2765" i="1"/>
  <c r="M2765" i="1"/>
  <c r="K2765" i="1"/>
  <c r="J2765" i="1"/>
  <c r="I2765" i="1"/>
  <c r="H2765" i="1"/>
  <c r="F2765" i="1"/>
  <c r="D2765" i="1"/>
  <c r="B2765" i="1"/>
  <c r="A2765" i="1"/>
  <c r="U2749" i="1"/>
  <c r="R2749" i="1"/>
  <c r="Q2749" i="1"/>
  <c r="P2749" i="1"/>
  <c r="O2749" i="1"/>
  <c r="N2749" i="1"/>
  <c r="M2749" i="1"/>
  <c r="K2749" i="1"/>
  <c r="J2749" i="1"/>
  <c r="I2749" i="1"/>
  <c r="H2749" i="1"/>
  <c r="F2749" i="1"/>
  <c r="D2749" i="1"/>
  <c r="B2749" i="1"/>
  <c r="A2749" i="1"/>
  <c r="U3209" i="1"/>
  <c r="R3209" i="1"/>
  <c r="Q3209" i="1"/>
  <c r="P3209" i="1"/>
  <c r="O3209" i="1"/>
  <c r="N3209" i="1"/>
  <c r="M3209" i="1"/>
  <c r="J3209" i="1"/>
  <c r="I3209" i="1"/>
  <c r="H3209" i="1"/>
  <c r="F3209" i="1"/>
  <c r="D3209" i="1"/>
  <c r="B3209" i="1"/>
  <c r="A3209" i="1"/>
  <c r="U2277" i="1"/>
  <c r="R2277" i="1"/>
  <c r="Q2277" i="1"/>
  <c r="P2277" i="1"/>
  <c r="O2277" i="1"/>
  <c r="N2277" i="1"/>
  <c r="M2277" i="1"/>
  <c r="J2277" i="1"/>
  <c r="I2277" i="1"/>
  <c r="H2277" i="1"/>
  <c r="F2277" i="1"/>
  <c r="E2277" i="1"/>
  <c r="D2277" i="1"/>
  <c r="B2277" i="1"/>
  <c r="A2277" i="1"/>
  <c r="U3184" i="1"/>
  <c r="R3184" i="1"/>
  <c r="Q3184" i="1"/>
  <c r="P3184" i="1"/>
  <c r="O3184" i="1"/>
  <c r="N3184" i="1"/>
  <c r="M3184" i="1"/>
  <c r="J3184" i="1"/>
  <c r="I3184" i="1"/>
  <c r="H3184" i="1"/>
  <c r="F3184" i="1"/>
  <c r="D3184" i="1"/>
  <c r="B3184" i="1"/>
  <c r="A3184" i="1"/>
  <c r="U3183" i="1"/>
  <c r="R3183" i="1"/>
  <c r="Q3183" i="1"/>
  <c r="P3183" i="1"/>
  <c r="O3183" i="1"/>
  <c r="N3183" i="1"/>
  <c r="M3183" i="1"/>
  <c r="J3183" i="1"/>
  <c r="I3183" i="1"/>
  <c r="H3183" i="1"/>
  <c r="F3183" i="1"/>
  <c r="D3183" i="1"/>
  <c r="A3183" i="1"/>
  <c r="U2557" i="1"/>
  <c r="R2557" i="1"/>
  <c r="Q2557" i="1"/>
  <c r="P2557" i="1"/>
  <c r="O2557" i="1"/>
  <c r="N2557" i="1"/>
  <c r="M2557" i="1"/>
  <c r="K2557" i="1"/>
  <c r="J2557" i="1"/>
  <c r="I2557" i="1"/>
  <c r="H2557" i="1"/>
  <c r="F2557" i="1"/>
  <c r="D2557" i="1"/>
  <c r="B2557" i="1"/>
  <c r="A2557" i="1"/>
  <c r="U2641" i="1"/>
  <c r="R2641" i="1"/>
  <c r="Q2641" i="1"/>
  <c r="P2641" i="1"/>
  <c r="O2641" i="1"/>
  <c r="N2641" i="1"/>
  <c r="M2641" i="1"/>
  <c r="K2641" i="1"/>
  <c r="J2641" i="1"/>
  <c r="I2641" i="1"/>
  <c r="H2641" i="1"/>
  <c r="F2641" i="1"/>
  <c r="D2641" i="1"/>
  <c r="A2641" i="1"/>
  <c r="U2657" i="1"/>
  <c r="R2657" i="1"/>
  <c r="Q2657" i="1"/>
  <c r="P2657" i="1"/>
  <c r="O2657" i="1"/>
  <c r="N2657" i="1"/>
  <c r="M2657" i="1"/>
  <c r="J2657" i="1"/>
  <c r="I2657" i="1"/>
  <c r="H2657" i="1"/>
  <c r="F2657" i="1"/>
  <c r="D2657" i="1"/>
  <c r="B2657" i="1"/>
  <c r="A2657" i="1"/>
  <c r="U2811" i="1"/>
  <c r="R2811" i="1"/>
  <c r="Q2811" i="1"/>
  <c r="P2811" i="1"/>
  <c r="O2811" i="1"/>
  <c r="N2811" i="1"/>
  <c r="M2811" i="1"/>
  <c r="J2811" i="1"/>
  <c r="I2811" i="1"/>
  <c r="H2811" i="1"/>
  <c r="F2811" i="1"/>
  <c r="D2811" i="1"/>
  <c r="B2811" i="1"/>
  <c r="A2811" i="1"/>
  <c r="U2888" i="1"/>
  <c r="R2888" i="1"/>
  <c r="Q2888" i="1"/>
  <c r="P2888" i="1"/>
  <c r="O2888" i="1"/>
  <c r="N2888" i="1"/>
  <c r="M2888" i="1"/>
  <c r="K2888" i="1"/>
  <c r="J2888" i="1"/>
  <c r="I2888" i="1"/>
  <c r="H2888" i="1"/>
  <c r="F2888" i="1"/>
  <c r="D2888" i="1"/>
  <c r="B2888" i="1"/>
  <c r="A2888" i="1"/>
  <c r="U3237" i="1"/>
  <c r="R3237" i="1"/>
  <c r="Q3237" i="1"/>
  <c r="P3237" i="1"/>
  <c r="O3237" i="1"/>
  <c r="N3237" i="1"/>
  <c r="M3237" i="1"/>
  <c r="J3237" i="1"/>
  <c r="I3237" i="1"/>
  <c r="H3237" i="1"/>
  <c r="G3237" i="1"/>
  <c r="F3237" i="1"/>
  <c r="E3237" i="1"/>
  <c r="D3237" i="1"/>
  <c r="B3237" i="1"/>
  <c r="A3237" i="1"/>
  <c r="U2580" i="1"/>
  <c r="R2580" i="1"/>
  <c r="Q2580" i="1"/>
  <c r="P2580" i="1"/>
  <c r="O2580" i="1"/>
  <c r="N2580" i="1"/>
  <c r="M2580" i="1"/>
  <c r="K2580" i="1"/>
  <c r="J2580" i="1"/>
  <c r="I2580" i="1"/>
  <c r="H2580" i="1"/>
  <c r="F2580" i="1"/>
  <c r="D2580" i="1"/>
  <c r="B2580" i="1"/>
  <c r="A2580" i="1"/>
  <c r="U2667" i="1"/>
  <c r="R2667" i="1"/>
  <c r="Q2667" i="1"/>
  <c r="P2667" i="1"/>
  <c r="O2667" i="1"/>
  <c r="N2667" i="1"/>
  <c r="M2667" i="1"/>
  <c r="J2667" i="1"/>
  <c r="I2667" i="1"/>
  <c r="H2667" i="1"/>
  <c r="F2667" i="1"/>
  <c r="D2667" i="1"/>
  <c r="B2667" i="1"/>
  <c r="A2667" i="1"/>
  <c r="U3236" i="1"/>
  <c r="R3236" i="1"/>
  <c r="Q3236" i="1"/>
  <c r="P3236" i="1"/>
  <c r="O3236" i="1"/>
  <c r="N3236" i="1"/>
  <c r="M3236" i="1"/>
  <c r="K3236" i="1"/>
  <c r="J3236" i="1"/>
  <c r="I3236" i="1"/>
  <c r="H3236" i="1"/>
  <c r="F3236" i="1"/>
  <c r="D3236" i="1"/>
  <c r="B3236" i="1"/>
  <c r="A3236" i="1"/>
  <c r="U2780" i="1"/>
  <c r="R2780" i="1"/>
  <c r="Q2780" i="1"/>
  <c r="P2780" i="1"/>
  <c r="O2780" i="1"/>
  <c r="N2780" i="1"/>
  <c r="M2780" i="1"/>
  <c r="K2780" i="1"/>
  <c r="J2780" i="1"/>
  <c r="I2780" i="1"/>
  <c r="H2780" i="1"/>
  <c r="F2780" i="1"/>
  <c r="D2780" i="1"/>
  <c r="B2780" i="1"/>
  <c r="A2780" i="1"/>
  <c r="U2829" i="1"/>
  <c r="R2829" i="1"/>
  <c r="Q2829" i="1"/>
  <c r="P2829" i="1"/>
  <c r="O2829" i="1"/>
  <c r="N2829" i="1"/>
  <c r="M2829" i="1"/>
  <c r="J2829" i="1"/>
  <c r="I2829" i="1"/>
  <c r="H2829" i="1"/>
  <c r="G2829" i="1"/>
  <c r="F2829" i="1"/>
  <c r="D2829" i="1"/>
  <c r="B2829" i="1"/>
  <c r="A2829" i="1"/>
  <c r="U3235" i="1"/>
  <c r="R3235" i="1"/>
  <c r="Q3235" i="1"/>
  <c r="P3235" i="1"/>
  <c r="O3235" i="1"/>
  <c r="N3235" i="1"/>
  <c r="M3235" i="1"/>
  <c r="J3235" i="1"/>
  <c r="I3235" i="1"/>
  <c r="H3235" i="1"/>
  <c r="F3235" i="1"/>
  <c r="D3235" i="1"/>
  <c r="B3235" i="1"/>
  <c r="A3235" i="1"/>
  <c r="U2827" i="1"/>
  <c r="R2827" i="1"/>
  <c r="Q2827" i="1"/>
  <c r="P2827" i="1"/>
  <c r="O2827" i="1"/>
  <c r="N2827" i="1"/>
  <c r="M2827" i="1"/>
  <c r="J2827" i="1"/>
  <c r="I2827" i="1"/>
  <c r="H2827" i="1"/>
  <c r="F2827" i="1"/>
  <c r="D2827" i="1"/>
  <c r="B2827" i="1"/>
  <c r="A2827" i="1"/>
  <c r="U2775" i="1"/>
  <c r="R2775" i="1"/>
  <c r="Q2775" i="1"/>
  <c r="P2775" i="1"/>
  <c r="O2775" i="1"/>
  <c r="N2775" i="1"/>
  <c r="M2775" i="1"/>
  <c r="J2775" i="1"/>
  <c r="I2775" i="1"/>
  <c r="H2775" i="1"/>
  <c r="F2775" i="1"/>
  <c r="D2775" i="1"/>
  <c r="B2775" i="1"/>
  <c r="A2775" i="1"/>
  <c r="U2806" i="1"/>
  <c r="R2806" i="1"/>
  <c r="Q2806" i="1"/>
  <c r="P2806" i="1"/>
  <c r="O2806" i="1"/>
  <c r="N2806" i="1"/>
  <c r="M2806" i="1"/>
  <c r="J2806" i="1"/>
  <c r="I2806" i="1"/>
  <c r="H2806" i="1"/>
  <c r="F2806" i="1"/>
  <c r="D2806" i="1"/>
  <c r="B2806" i="1"/>
  <c r="A2806" i="1"/>
  <c r="U2528" i="1"/>
  <c r="R2528" i="1"/>
  <c r="Q2528" i="1"/>
  <c r="P2528" i="1"/>
  <c r="O2528" i="1"/>
  <c r="N2528" i="1"/>
  <c r="M2528" i="1"/>
  <c r="J2528" i="1"/>
  <c r="I2528" i="1"/>
  <c r="H2528" i="1"/>
  <c r="F2528" i="1"/>
  <c r="D2528" i="1"/>
  <c r="B2528" i="1"/>
  <c r="A2528" i="1"/>
  <c r="U2583" i="1"/>
  <c r="R2583" i="1"/>
  <c r="Q2583" i="1"/>
  <c r="P2583" i="1"/>
  <c r="O2583" i="1"/>
  <c r="N2583" i="1"/>
  <c r="M2583" i="1"/>
  <c r="J2583" i="1"/>
  <c r="I2583" i="1"/>
  <c r="H2583" i="1"/>
  <c r="F2583" i="1"/>
  <c r="D2583" i="1"/>
  <c r="B2583" i="1"/>
  <c r="A2583" i="1"/>
  <c r="U2994" i="1"/>
  <c r="R2994" i="1"/>
  <c r="Q2994" i="1"/>
  <c r="P2994" i="1"/>
  <c r="O2994" i="1"/>
  <c r="N2994" i="1"/>
  <c r="M2994" i="1"/>
  <c r="J2994" i="1"/>
  <c r="I2994" i="1"/>
  <c r="H2994" i="1"/>
  <c r="F2994" i="1"/>
  <c r="D2994" i="1"/>
  <c r="B2994" i="1"/>
  <c r="A2994" i="1"/>
  <c r="U2891" i="1"/>
  <c r="R2891" i="1"/>
  <c r="Q2891" i="1"/>
  <c r="P2891" i="1"/>
  <c r="O2891" i="1"/>
  <c r="N2891" i="1"/>
  <c r="M2891" i="1"/>
  <c r="K2891" i="1"/>
  <c r="J2891" i="1"/>
  <c r="I2891" i="1"/>
  <c r="H2891" i="1"/>
  <c r="F2891" i="1"/>
  <c r="D2891" i="1"/>
  <c r="B2891" i="1"/>
  <c r="A2891" i="1"/>
  <c r="U3132" i="1"/>
  <c r="R3132" i="1"/>
  <c r="Q3132" i="1"/>
  <c r="P3132" i="1"/>
  <c r="O3132" i="1"/>
  <c r="N3132" i="1"/>
  <c r="M3132" i="1"/>
  <c r="J3132" i="1"/>
  <c r="I3132" i="1"/>
  <c r="H3132" i="1"/>
  <c r="F3132" i="1"/>
  <c r="D3132" i="1"/>
  <c r="B3132" i="1"/>
  <c r="A3132" i="1"/>
  <c r="U3234" i="1"/>
  <c r="R3234" i="1"/>
  <c r="Q3234" i="1"/>
  <c r="P3234" i="1"/>
  <c r="O3234" i="1"/>
  <c r="N3234" i="1"/>
  <c r="M3234" i="1"/>
  <c r="K3234" i="1"/>
  <c r="J3234" i="1"/>
  <c r="I3234" i="1"/>
  <c r="H3234" i="1"/>
  <c r="F3234" i="1"/>
  <c r="D3234" i="1"/>
  <c r="B3234" i="1"/>
  <c r="A3234" i="1"/>
  <c r="U3233" i="1"/>
  <c r="R3233" i="1"/>
  <c r="Q3233" i="1"/>
  <c r="P3233" i="1"/>
  <c r="O3233" i="1"/>
  <c r="N3233" i="1"/>
  <c r="M3233" i="1"/>
  <c r="J3233" i="1"/>
  <c r="I3233" i="1"/>
  <c r="H3233" i="1"/>
  <c r="F3233" i="1"/>
  <c r="D3233" i="1"/>
  <c r="B3233" i="1"/>
  <c r="A3233" i="1"/>
  <c r="U3232" i="1"/>
  <c r="R3232" i="1"/>
  <c r="Q3232" i="1"/>
  <c r="P3232" i="1"/>
  <c r="O3232" i="1"/>
  <c r="N3232" i="1"/>
  <c r="M3232" i="1"/>
  <c r="K3232" i="1"/>
  <c r="J3232" i="1"/>
  <c r="I3232" i="1"/>
  <c r="H3232" i="1"/>
  <c r="F3232" i="1"/>
  <c r="D3232" i="1"/>
  <c r="B3232" i="1"/>
  <c r="A3232" i="1"/>
  <c r="U2768" i="1"/>
  <c r="R2768" i="1"/>
  <c r="Q2768" i="1"/>
  <c r="P2768" i="1"/>
  <c r="O2768" i="1"/>
  <c r="N2768" i="1"/>
  <c r="M2768" i="1"/>
  <c r="K2768" i="1"/>
  <c r="J2768" i="1"/>
  <c r="I2768" i="1"/>
  <c r="H2768" i="1"/>
  <c r="F2768" i="1"/>
  <c r="D2768" i="1"/>
  <c r="B2768" i="1"/>
  <c r="A2768" i="1"/>
  <c r="U3047" i="1"/>
  <c r="R3047" i="1"/>
  <c r="Q3047" i="1"/>
  <c r="P3047" i="1"/>
  <c r="O3047" i="1"/>
  <c r="N3047" i="1"/>
  <c r="M3047" i="1"/>
  <c r="K3047" i="1"/>
  <c r="J3047" i="1"/>
  <c r="I3047" i="1"/>
  <c r="H3047" i="1"/>
  <c r="F3047" i="1"/>
  <c r="D3047" i="1"/>
  <c r="B3047" i="1"/>
  <c r="A3047" i="1"/>
  <c r="U2645" i="1"/>
  <c r="R2645" i="1"/>
  <c r="Q2645" i="1"/>
  <c r="P2645" i="1"/>
  <c r="O2645" i="1"/>
  <c r="N2645" i="1"/>
  <c r="M2645" i="1"/>
  <c r="J2645" i="1"/>
  <c r="I2645" i="1"/>
  <c r="H2645" i="1"/>
  <c r="F2645" i="1"/>
  <c r="D2645" i="1"/>
  <c r="B2645" i="1"/>
  <c r="A2645" i="1"/>
  <c r="U2881" i="1"/>
  <c r="R2881" i="1"/>
  <c r="Q2881" i="1"/>
  <c r="P2881" i="1"/>
  <c r="O2881" i="1"/>
  <c r="N2881" i="1"/>
  <c r="M2881" i="1"/>
  <c r="J2881" i="1"/>
  <c r="I2881" i="1"/>
  <c r="H2881" i="1"/>
  <c r="F2881" i="1"/>
  <c r="D2881" i="1"/>
  <c r="B2881" i="1"/>
  <c r="A2881" i="1"/>
  <c r="U2675" i="1"/>
  <c r="R2675" i="1"/>
  <c r="Q2675" i="1"/>
  <c r="P2675" i="1"/>
  <c r="O2675" i="1"/>
  <c r="N2675" i="1"/>
  <c r="M2675" i="1"/>
  <c r="K2675" i="1"/>
  <c r="J2675" i="1"/>
  <c r="I2675" i="1"/>
  <c r="H2675" i="1"/>
  <c r="F2675" i="1"/>
  <c r="D2675" i="1"/>
  <c r="B2675" i="1"/>
  <c r="A2675" i="1"/>
  <c r="U14" i="1"/>
  <c r="R14" i="1"/>
  <c r="Q14" i="1"/>
  <c r="P14" i="1"/>
  <c r="O14" i="1"/>
  <c r="N14" i="1"/>
  <c r="M14" i="1"/>
  <c r="J14" i="1"/>
  <c r="I14" i="1"/>
  <c r="H14" i="1"/>
  <c r="F14" i="1"/>
  <c r="D14" i="1"/>
  <c r="B14" i="1"/>
  <c r="A14" i="1"/>
  <c r="U139" i="1"/>
  <c r="R139" i="1"/>
  <c r="Q139" i="1"/>
  <c r="P139" i="1"/>
  <c r="O139" i="1"/>
  <c r="N139" i="1"/>
  <c r="M139" i="1"/>
  <c r="J139" i="1"/>
  <c r="I139" i="1"/>
  <c r="H139" i="1"/>
  <c r="F139" i="1"/>
  <c r="E139" i="1"/>
  <c r="D139" i="1"/>
  <c r="B139" i="1"/>
  <c r="A139" i="1"/>
  <c r="U127" i="1"/>
  <c r="R127" i="1"/>
  <c r="Q127" i="1"/>
  <c r="P127" i="1"/>
  <c r="O127" i="1"/>
  <c r="N127" i="1"/>
  <c r="M127" i="1"/>
  <c r="J127" i="1"/>
  <c r="I127" i="1"/>
  <c r="H127" i="1"/>
  <c r="F127" i="1"/>
  <c r="D127" i="1"/>
  <c r="B127" i="1"/>
  <c r="A127" i="1"/>
  <c r="U235" i="1"/>
  <c r="R235" i="1"/>
  <c r="Q235" i="1"/>
  <c r="P235" i="1"/>
  <c r="O235" i="1"/>
  <c r="N235" i="1"/>
  <c r="M235" i="1"/>
  <c r="J235" i="1"/>
  <c r="I235" i="1"/>
  <c r="H235" i="1"/>
  <c r="F235" i="1"/>
  <c r="D235" i="1"/>
  <c r="A235" i="1"/>
  <c r="U374" i="1"/>
  <c r="R374" i="1"/>
  <c r="Q374" i="1"/>
  <c r="P374" i="1"/>
  <c r="O374" i="1"/>
  <c r="N374" i="1"/>
  <c r="M374" i="1"/>
  <c r="J374" i="1"/>
  <c r="I374" i="1"/>
  <c r="H374" i="1"/>
  <c r="F374" i="1"/>
  <c r="D374" i="1"/>
  <c r="B374" i="1"/>
  <c r="A374" i="1"/>
  <c r="U261" i="1"/>
  <c r="R261" i="1"/>
  <c r="Q261" i="1"/>
  <c r="P261" i="1"/>
  <c r="O261" i="1"/>
  <c r="N261" i="1"/>
  <c r="M261" i="1"/>
  <c r="J261" i="1"/>
  <c r="I261" i="1"/>
  <c r="H261" i="1"/>
  <c r="F261" i="1"/>
  <c r="D261" i="1"/>
  <c r="B261" i="1"/>
  <c r="A261" i="1"/>
  <c r="U630" i="1"/>
  <c r="R630" i="1"/>
  <c r="Q630" i="1"/>
  <c r="P630" i="1"/>
  <c r="O630" i="1"/>
  <c r="N630" i="1"/>
  <c r="M630" i="1"/>
  <c r="J630" i="1"/>
  <c r="I630" i="1"/>
  <c r="H630" i="1"/>
  <c r="F630" i="1"/>
  <c r="E630" i="1"/>
  <c r="D630" i="1"/>
  <c r="A630" i="1"/>
  <c r="U515" i="1"/>
  <c r="R515" i="1"/>
  <c r="Q515" i="1"/>
  <c r="P515" i="1"/>
  <c r="O515" i="1"/>
  <c r="N515" i="1"/>
  <c r="M515" i="1"/>
  <c r="J515" i="1"/>
  <c r="I515" i="1"/>
  <c r="H515" i="1"/>
  <c r="F515" i="1"/>
  <c r="E515" i="1"/>
  <c r="D515" i="1"/>
  <c r="B515" i="1"/>
  <c r="A515" i="1"/>
  <c r="U650" i="1"/>
  <c r="R650" i="1"/>
  <c r="Q650" i="1"/>
  <c r="P650" i="1"/>
  <c r="O650" i="1"/>
  <c r="N650" i="1"/>
  <c r="M650" i="1"/>
  <c r="J650" i="1"/>
  <c r="I650" i="1"/>
  <c r="H650" i="1"/>
  <c r="F650" i="1"/>
  <c r="D650" i="1"/>
  <c r="A650" i="1"/>
  <c r="U676" i="1"/>
  <c r="R676" i="1"/>
  <c r="Q676" i="1"/>
  <c r="P676" i="1"/>
  <c r="O676" i="1"/>
  <c r="N676" i="1"/>
  <c r="M676" i="1"/>
  <c r="J676" i="1"/>
  <c r="I676" i="1"/>
  <c r="H676" i="1"/>
  <c r="F676" i="1"/>
  <c r="D676" i="1"/>
  <c r="B676" i="1"/>
  <c r="A676" i="1"/>
  <c r="U658" i="1"/>
  <c r="R658" i="1"/>
  <c r="Q658" i="1"/>
  <c r="P658" i="1"/>
  <c r="O658" i="1"/>
  <c r="N658" i="1"/>
  <c r="M658" i="1"/>
  <c r="J658" i="1"/>
  <c r="I658" i="1"/>
  <c r="H658" i="1"/>
  <c r="F658" i="1"/>
  <c r="D658" i="1"/>
  <c r="A658" i="1"/>
  <c r="U836" i="1"/>
  <c r="R836" i="1"/>
  <c r="Q836" i="1"/>
  <c r="P836" i="1"/>
  <c r="O836" i="1"/>
  <c r="N836" i="1"/>
  <c r="M836" i="1"/>
  <c r="J836" i="1"/>
  <c r="I836" i="1"/>
  <c r="H836" i="1"/>
  <c r="F836" i="1"/>
  <c r="D836" i="1"/>
  <c r="B836" i="1"/>
  <c r="A836" i="1"/>
  <c r="U609" i="1"/>
  <c r="R609" i="1"/>
  <c r="Q609" i="1"/>
  <c r="P609" i="1"/>
  <c r="O609" i="1"/>
  <c r="N609" i="1"/>
  <c r="M609" i="1"/>
  <c r="J609" i="1"/>
  <c r="I609" i="1"/>
  <c r="H609" i="1"/>
  <c r="F609" i="1"/>
  <c r="D609" i="1"/>
  <c r="B609" i="1"/>
  <c r="A609" i="1"/>
  <c r="U596" i="1"/>
  <c r="R596" i="1"/>
  <c r="Q596" i="1"/>
  <c r="P596" i="1"/>
  <c r="O596" i="1"/>
  <c r="N596" i="1"/>
  <c r="M596" i="1"/>
  <c r="J596" i="1"/>
  <c r="I596" i="1"/>
  <c r="H596" i="1"/>
  <c r="F596" i="1"/>
  <c r="D596" i="1"/>
  <c r="B596" i="1"/>
  <c r="A596" i="1"/>
  <c r="U840" i="1"/>
  <c r="R840" i="1"/>
  <c r="Q840" i="1"/>
  <c r="P840" i="1"/>
  <c r="O840" i="1"/>
  <c r="N840" i="1"/>
  <c r="M840" i="1"/>
  <c r="J840" i="1"/>
  <c r="I840" i="1"/>
  <c r="H840" i="1"/>
  <c r="F840" i="1"/>
  <c r="E840" i="1"/>
  <c r="D840" i="1"/>
  <c r="B840" i="1"/>
  <c r="A840" i="1"/>
  <c r="U885" i="1"/>
  <c r="R885" i="1"/>
  <c r="Q885" i="1"/>
  <c r="P885" i="1"/>
  <c r="O885" i="1"/>
  <c r="N885" i="1"/>
  <c r="M885" i="1"/>
  <c r="I885" i="1"/>
  <c r="H885" i="1"/>
  <c r="F885" i="1"/>
  <c r="D885" i="1"/>
  <c r="B885" i="1"/>
  <c r="A885" i="1"/>
  <c r="U766" i="1"/>
  <c r="R766" i="1"/>
  <c r="Q766" i="1"/>
  <c r="P766" i="1"/>
  <c r="O766" i="1"/>
  <c r="N766" i="1"/>
  <c r="M766" i="1"/>
  <c r="J766" i="1"/>
  <c r="I766" i="1"/>
  <c r="H766" i="1"/>
  <c r="F766" i="1"/>
  <c r="D766" i="1"/>
  <c r="B766" i="1"/>
  <c r="A766" i="1"/>
  <c r="U937" i="1"/>
  <c r="R937" i="1"/>
  <c r="Q937" i="1"/>
  <c r="P937" i="1"/>
  <c r="O937" i="1"/>
  <c r="N937" i="1"/>
  <c r="M937" i="1"/>
  <c r="J937" i="1"/>
  <c r="I937" i="1"/>
  <c r="H937" i="1"/>
  <c r="F937" i="1"/>
  <c r="E937" i="1"/>
  <c r="D937" i="1"/>
  <c r="B937" i="1"/>
  <c r="A937" i="1"/>
  <c r="U443" i="1"/>
  <c r="R443" i="1"/>
  <c r="Q443" i="1"/>
  <c r="P443" i="1"/>
  <c r="O443" i="1"/>
  <c r="N443" i="1"/>
  <c r="M443" i="1"/>
  <c r="J443" i="1"/>
  <c r="I443" i="1"/>
  <c r="H443" i="1"/>
  <c r="F443" i="1"/>
  <c r="D443" i="1"/>
  <c r="B443" i="1"/>
  <c r="A443" i="1"/>
  <c r="U954" i="1"/>
  <c r="R954" i="1"/>
  <c r="Q954" i="1"/>
  <c r="P954" i="1"/>
  <c r="O954" i="1"/>
  <c r="N954" i="1"/>
  <c r="M954" i="1"/>
  <c r="J954" i="1"/>
  <c r="I954" i="1"/>
  <c r="H954" i="1"/>
  <c r="F954" i="1"/>
  <c r="E954" i="1"/>
  <c r="D954" i="1"/>
  <c r="B954" i="1"/>
  <c r="A954" i="1"/>
  <c r="U1028" i="1"/>
  <c r="R1028" i="1"/>
  <c r="Q1028" i="1"/>
  <c r="P1028" i="1"/>
  <c r="O1028" i="1"/>
  <c r="N1028" i="1"/>
  <c r="M1028" i="1"/>
  <c r="J1028" i="1"/>
  <c r="I1028" i="1"/>
  <c r="H1028" i="1"/>
  <c r="F1028" i="1"/>
  <c r="D1028" i="1"/>
  <c r="B1028" i="1"/>
  <c r="A1028" i="1"/>
  <c r="U883" i="1"/>
  <c r="R883" i="1"/>
  <c r="Q883" i="1"/>
  <c r="P883" i="1"/>
  <c r="O883" i="1"/>
  <c r="N883" i="1"/>
  <c r="M883" i="1"/>
  <c r="J883" i="1"/>
  <c r="I883" i="1"/>
  <c r="H883" i="1"/>
  <c r="F883" i="1"/>
  <c r="D883" i="1"/>
  <c r="B883" i="1"/>
  <c r="A883" i="1"/>
  <c r="U892" i="1"/>
  <c r="R892" i="1"/>
  <c r="Q892" i="1"/>
  <c r="P892" i="1"/>
  <c r="O892" i="1"/>
  <c r="N892" i="1"/>
  <c r="M892" i="1"/>
  <c r="J892" i="1"/>
  <c r="I892" i="1"/>
  <c r="H892" i="1"/>
  <c r="F892" i="1"/>
  <c r="D892" i="1"/>
  <c r="B892" i="1"/>
  <c r="A892" i="1"/>
  <c r="U1139" i="1"/>
  <c r="R1139" i="1"/>
  <c r="Q1139" i="1"/>
  <c r="P1139" i="1"/>
  <c r="O1139" i="1"/>
  <c r="N1139" i="1"/>
  <c r="M1139" i="1"/>
  <c r="J1139" i="1"/>
  <c r="I1139" i="1"/>
  <c r="H1139" i="1"/>
  <c r="F1139" i="1"/>
  <c r="D1139" i="1"/>
  <c r="B1139" i="1"/>
  <c r="A1139" i="1"/>
  <c r="U1329" i="1"/>
  <c r="R1329" i="1"/>
  <c r="Q1329" i="1"/>
  <c r="P1329" i="1"/>
  <c r="O1329" i="1"/>
  <c r="N1329" i="1"/>
  <c r="M1329" i="1"/>
  <c r="J1329" i="1"/>
  <c r="I1329" i="1"/>
  <c r="H1329" i="1"/>
  <c r="F1329" i="1"/>
  <c r="E1329" i="1"/>
  <c r="D1329" i="1"/>
  <c r="B1329" i="1"/>
  <c r="A1329" i="1"/>
  <c r="U1318" i="1"/>
  <c r="R1318" i="1"/>
  <c r="Q1318" i="1"/>
  <c r="P1318" i="1"/>
  <c r="O1318" i="1"/>
  <c r="N1318" i="1"/>
  <c r="M1318" i="1"/>
  <c r="J1318" i="1"/>
  <c r="I1318" i="1"/>
  <c r="H1318" i="1"/>
  <c r="F1318" i="1"/>
  <c r="D1318" i="1"/>
  <c r="B1318" i="1"/>
  <c r="A1318" i="1"/>
  <c r="U1334" i="1"/>
  <c r="R1334" i="1"/>
  <c r="Q1334" i="1"/>
  <c r="P1334" i="1"/>
  <c r="O1334" i="1"/>
  <c r="N1334" i="1"/>
  <c r="M1334" i="1"/>
  <c r="J1334" i="1"/>
  <c r="I1334" i="1"/>
  <c r="H1334" i="1"/>
  <c r="F1334" i="1"/>
  <c r="D1334" i="1"/>
  <c r="B1334" i="1"/>
  <c r="A1334" i="1"/>
  <c r="U1500" i="1"/>
  <c r="R1500" i="1"/>
  <c r="Q1500" i="1"/>
  <c r="P1500" i="1"/>
  <c r="O1500" i="1"/>
  <c r="N1500" i="1"/>
  <c r="M1500" i="1"/>
  <c r="J1500" i="1"/>
  <c r="I1500" i="1"/>
  <c r="H1500" i="1"/>
  <c r="F1500" i="1"/>
  <c r="D1500" i="1"/>
  <c r="B1500" i="1"/>
  <c r="A1500" i="1"/>
  <c r="U1793" i="1"/>
  <c r="R1793" i="1"/>
  <c r="Q1793" i="1"/>
  <c r="P1793" i="1"/>
  <c r="O1793" i="1"/>
  <c r="N1793" i="1"/>
  <c r="M1793" i="1"/>
  <c r="K1793" i="1"/>
  <c r="J1793" i="1"/>
  <c r="I1793" i="1"/>
  <c r="H1793" i="1"/>
  <c r="F1793" i="1"/>
  <c r="E1793" i="1"/>
  <c r="D1793" i="1"/>
  <c r="B1793" i="1"/>
  <c r="A1793" i="1"/>
  <c r="U2656" i="1"/>
  <c r="R2656" i="1"/>
  <c r="Q2656" i="1"/>
  <c r="P2656" i="1"/>
  <c r="O2656" i="1"/>
  <c r="N2656" i="1"/>
  <c r="M2656" i="1"/>
  <c r="J2656" i="1"/>
  <c r="I2656" i="1"/>
  <c r="H2656" i="1"/>
  <c r="F2656" i="1"/>
  <c r="D2656" i="1"/>
  <c r="A2656" i="1"/>
  <c r="U1991" i="1"/>
  <c r="R1991" i="1"/>
  <c r="Q1991" i="1"/>
  <c r="P1991" i="1"/>
  <c r="O1991" i="1"/>
  <c r="N1991" i="1"/>
  <c r="M1991" i="1"/>
  <c r="K1991" i="1"/>
  <c r="J1991" i="1"/>
  <c r="I1991" i="1"/>
  <c r="H1991" i="1"/>
  <c r="F1991" i="1"/>
  <c r="D1991" i="1"/>
  <c r="B1991" i="1"/>
  <c r="A1991" i="1"/>
  <c r="U2012" i="1"/>
  <c r="R2012" i="1"/>
  <c r="Q2012" i="1"/>
  <c r="P2012" i="1"/>
  <c r="O2012" i="1"/>
  <c r="N2012" i="1"/>
  <c r="M2012" i="1"/>
  <c r="J2012" i="1"/>
  <c r="I2012" i="1"/>
  <c r="H2012" i="1"/>
  <c r="F2012" i="1"/>
  <c r="D2012" i="1"/>
  <c r="B2012" i="1"/>
  <c r="A2012" i="1"/>
  <c r="U2057" i="1"/>
  <c r="R2057" i="1"/>
  <c r="Q2057" i="1"/>
  <c r="P2057" i="1"/>
  <c r="O2057" i="1"/>
  <c r="N2057" i="1"/>
  <c r="M2057" i="1"/>
  <c r="K2057" i="1"/>
  <c r="J2057" i="1"/>
  <c r="I2057" i="1"/>
  <c r="H2057" i="1"/>
  <c r="F2057" i="1"/>
  <c r="D2057" i="1"/>
  <c r="B2057" i="1"/>
  <c r="A2057" i="1"/>
  <c r="U2412" i="1"/>
  <c r="R2412" i="1"/>
  <c r="Q2412" i="1"/>
  <c r="P2412" i="1"/>
  <c r="O2412" i="1"/>
  <c r="N2412" i="1"/>
  <c r="M2412" i="1"/>
  <c r="K2412" i="1"/>
  <c r="J2412" i="1"/>
  <c r="I2412" i="1"/>
  <c r="H2412" i="1"/>
  <c r="G2412" i="1"/>
  <c r="F2412" i="1"/>
  <c r="D2412" i="1"/>
  <c r="B2412" i="1"/>
  <c r="A2412" i="1"/>
  <c r="U2160" i="1"/>
  <c r="R2160" i="1"/>
  <c r="Q2160" i="1"/>
  <c r="P2160" i="1"/>
  <c r="O2160" i="1"/>
  <c r="N2160" i="1"/>
  <c r="M2160" i="1"/>
  <c r="K2160" i="1"/>
  <c r="J2160" i="1"/>
  <c r="I2160" i="1"/>
  <c r="H2160" i="1"/>
  <c r="F2160" i="1"/>
  <c r="D2160" i="1"/>
  <c r="B2160" i="1"/>
  <c r="A2160" i="1"/>
  <c r="U2297" i="1"/>
  <c r="R2297" i="1"/>
  <c r="Q2297" i="1"/>
  <c r="P2297" i="1"/>
  <c r="O2297" i="1"/>
  <c r="N2297" i="1"/>
  <c r="M2297" i="1"/>
  <c r="I2297" i="1"/>
  <c r="H2297" i="1"/>
  <c r="G2297" i="1"/>
  <c r="F2297" i="1"/>
  <c r="E2297" i="1"/>
  <c r="D2297" i="1"/>
  <c r="B2297" i="1"/>
  <c r="A2297" i="1"/>
  <c r="U81" i="1"/>
  <c r="R81" i="1"/>
  <c r="Q81" i="1"/>
  <c r="P81" i="1"/>
  <c r="O81" i="1"/>
  <c r="N81" i="1"/>
  <c r="M81" i="1"/>
  <c r="J81" i="1"/>
  <c r="I81" i="1"/>
  <c r="H81" i="1"/>
  <c r="F81" i="1"/>
  <c r="D81" i="1"/>
  <c r="B81" i="1"/>
  <c r="A81" i="1"/>
  <c r="U165" i="1"/>
  <c r="R165" i="1"/>
  <c r="Q165" i="1"/>
  <c r="P165" i="1"/>
  <c r="O165" i="1"/>
  <c r="N165" i="1"/>
  <c r="M165" i="1"/>
  <c r="J165" i="1"/>
  <c r="I165" i="1"/>
  <c r="H165" i="1"/>
  <c r="F165" i="1"/>
  <c r="D165" i="1"/>
  <c r="B165" i="1"/>
  <c r="A165" i="1"/>
  <c r="U256" i="1"/>
  <c r="R256" i="1"/>
  <c r="Q256" i="1"/>
  <c r="P256" i="1"/>
  <c r="O256" i="1"/>
  <c r="N256" i="1"/>
  <c r="M256" i="1"/>
  <c r="J256" i="1"/>
  <c r="I256" i="1"/>
  <c r="H256" i="1"/>
  <c r="F256" i="1"/>
  <c r="D256" i="1"/>
  <c r="B256" i="1"/>
  <c r="A256" i="1"/>
  <c r="U359" i="1"/>
  <c r="R359" i="1"/>
  <c r="Q359" i="1"/>
  <c r="P359" i="1"/>
  <c r="O359" i="1"/>
  <c r="N359" i="1"/>
  <c r="M359" i="1"/>
  <c r="J359" i="1"/>
  <c r="I359" i="1"/>
  <c r="H359" i="1"/>
  <c r="F359" i="1"/>
  <c r="D359" i="1"/>
  <c r="B359" i="1"/>
  <c r="A359" i="1"/>
  <c r="U514" i="1"/>
  <c r="R514" i="1"/>
  <c r="Q514" i="1"/>
  <c r="P514" i="1"/>
  <c r="O514" i="1"/>
  <c r="N514" i="1"/>
  <c r="M514" i="1"/>
  <c r="J514" i="1"/>
  <c r="I514" i="1"/>
  <c r="H514" i="1"/>
  <c r="F514" i="1"/>
  <c r="D514" i="1"/>
  <c r="B514" i="1"/>
  <c r="A514" i="1"/>
  <c r="U814" i="1"/>
  <c r="R814" i="1"/>
  <c r="Q814" i="1"/>
  <c r="P814" i="1"/>
  <c r="O814" i="1"/>
  <c r="N814" i="1"/>
  <c r="M814" i="1"/>
  <c r="J814" i="1"/>
  <c r="I814" i="1"/>
  <c r="H814" i="1"/>
  <c r="F814" i="1"/>
  <c r="E814" i="1"/>
  <c r="D814" i="1"/>
  <c r="B814" i="1"/>
  <c r="A814" i="1"/>
  <c r="U853" i="1"/>
  <c r="R853" i="1"/>
  <c r="Q853" i="1"/>
  <c r="P853" i="1"/>
  <c r="O853" i="1"/>
  <c r="N853" i="1"/>
  <c r="M853" i="1"/>
  <c r="J853" i="1"/>
  <c r="I853" i="1"/>
  <c r="H853" i="1"/>
  <c r="G853" i="1"/>
  <c r="F853" i="1"/>
  <c r="D853" i="1"/>
  <c r="A853" i="1"/>
  <c r="U933" i="1"/>
  <c r="R933" i="1"/>
  <c r="Q933" i="1"/>
  <c r="P933" i="1"/>
  <c r="O933" i="1"/>
  <c r="N933" i="1"/>
  <c r="M933" i="1"/>
  <c r="J933" i="1"/>
  <c r="I933" i="1"/>
  <c r="H933" i="1"/>
  <c r="F933" i="1"/>
  <c r="D933" i="1"/>
  <c r="A933" i="1"/>
  <c r="U947" i="1"/>
  <c r="R947" i="1"/>
  <c r="Q947" i="1"/>
  <c r="P947" i="1"/>
  <c r="O947" i="1"/>
  <c r="N947" i="1"/>
  <c r="M947" i="1"/>
  <c r="J947" i="1"/>
  <c r="I947" i="1"/>
  <c r="H947" i="1"/>
  <c r="F947" i="1"/>
  <c r="D947" i="1"/>
  <c r="B947" i="1"/>
  <c r="A947" i="1"/>
  <c r="U1129" i="1"/>
  <c r="R1129" i="1"/>
  <c r="Q1129" i="1"/>
  <c r="P1129" i="1"/>
  <c r="O1129" i="1"/>
  <c r="N1129" i="1"/>
  <c r="M1129" i="1"/>
  <c r="J1129" i="1"/>
  <c r="I1129" i="1"/>
  <c r="H1129" i="1"/>
  <c r="F1129" i="1"/>
  <c r="D1129" i="1"/>
  <c r="B1129" i="1"/>
  <c r="A1129" i="1"/>
  <c r="U1276" i="1"/>
  <c r="R1276" i="1"/>
  <c r="Q1276" i="1"/>
  <c r="P1276" i="1"/>
  <c r="O1276" i="1"/>
  <c r="N1276" i="1"/>
  <c r="M1276" i="1"/>
  <c r="J1276" i="1"/>
  <c r="I1276" i="1"/>
  <c r="H1276" i="1"/>
  <c r="F1276" i="1"/>
  <c r="D1276" i="1"/>
  <c r="B1276" i="1"/>
  <c r="A1276" i="1"/>
  <c r="U1406" i="1"/>
  <c r="R1406" i="1"/>
  <c r="Q1406" i="1"/>
  <c r="P1406" i="1"/>
  <c r="O1406" i="1"/>
  <c r="N1406" i="1"/>
  <c r="M1406" i="1"/>
  <c r="J1406" i="1"/>
  <c r="I1406" i="1"/>
  <c r="H1406" i="1"/>
  <c r="F1406" i="1"/>
  <c r="D1406" i="1"/>
  <c r="B1406" i="1"/>
  <c r="A1406" i="1"/>
  <c r="U1873" i="1"/>
  <c r="R1873" i="1"/>
  <c r="Q1873" i="1"/>
  <c r="P1873" i="1"/>
  <c r="O1873" i="1"/>
  <c r="N1873" i="1"/>
  <c r="M1873" i="1"/>
  <c r="K1873" i="1"/>
  <c r="J1873" i="1"/>
  <c r="I1873" i="1"/>
  <c r="H1873" i="1"/>
  <c r="F1873" i="1"/>
  <c r="D1873" i="1"/>
  <c r="B1873" i="1"/>
  <c r="A1873" i="1"/>
  <c r="U1995" i="1"/>
  <c r="R1995" i="1"/>
  <c r="Q1995" i="1"/>
  <c r="P1995" i="1"/>
  <c r="O1995" i="1"/>
  <c r="N1995" i="1"/>
  <c r="M1995" i="1"/>
  <c r="J1995" i="1"/>
  <c r="I1995" i="1"/>
  <c r="H1995" i="1"/>
  <c r="F1995" i="1"/>
  <c r="D1995" i="1"/>
  <c r="B1995" i="1"/>
  <c r="A1995" i="1"/>
  <c r="U2535" i="1"/>
  <c r="R2535" i="1"/>
  <c r="Q2535" i="1"/>
  <c r="P2535" i="1"/>
  <c r="O2535" i="1"/>
  <c r="N2535" i="1"/>
  <c r="M2535" i="1"/>
  <c r="K2535" i="1"/>
  <c r="J2535" i="1"/>
  <c r="I2535" i="1"/>
  <c r="H2535" i="1"/>
  <c r="F2535" i="1"/>
  <c r="D2535" i="1"/>
  <c r="B2535" i="1"/>
  <c r="A2535" i="1"/>
  <c r="U2044" i="1"/>
  <c r="R2044" i="1"/>
  <c r="Q2044" i="1"/>
  <c r="P2044" i="1"/>
  <c r="O2044" i="1"/>
  <c r="N2044" i="1"/>
  <c r="M2044" i="1"/>
  <c r="K2044" i="1"/>
  <c r="J2044" i="1"/>
  <c r="I2044" i="1"/>
  <c r="H2044" i="1"/>
  <c r="F2044" i="1"/>
  <c r="D2044" i="1"/>
  <c r="B2044" i="1"/>
  <c r="A2044" i="1"/>
  <c r="U1898" i="1"/>
  <c r="R1898" i="1"/>
  <c r="Q1898" i="1"/>
  <c r="P1898" i="1"/>
  <c r="O1898" i="1"/>
  <c r="N1898" i="1"/>
  <c r="M1898" i="1"/>
  <c r="J1898" i="1"/>
  <c r="I1898" i="1"/>
  <c r="H1898" i="1"/>
  <c r="F1898" i="1"/>
  <c r="E1898" i="1"/>
  <c r="D1898" i="1"/>
  <c r="B1898" i="1"/>
  <c r="A1898" i="1"/>
  <c r="U2276" i="1"/>
  <c r="R2276" i="1"/>
  <c r="Q2276" i="1"/>
  <c r="P2276" i="1"/>
  <c r="O2276" i="1"/>
  <c r="N2276" i="1"/>
  <c r="M2276" i="1"/>
  <c r="K2276" i="1"/>
  <c r="J2276" i="1"/>
  <c r="I2276" i="1"/>
  <c r="H2276" i="1"/>
  <c r="F2276" i="1"/>
  <c r="D2276" i="1"/>
  <c r="B2276" i="1"/>
  <c r="A2276" i="1"/>
  <c r="U2628" i="1"/>
  <c r="R2628" i="1"/>
  <c r="Q2628" i="1"/>
  <c r="P2628" i="1"/>
  <c r="O2628" i="1"/>
  <c r="N2628" i="1"/>
  <c r="M2628" i="1"/>
  <c r="K2628" i="1"/>
  <c r="J2628" i="1"/>
  <c r="I2628" i="1"/>
  <c r="H2628" i="1"/>
  <c r="F2628" i="1"/>
  <c r="D2628" i="1"/>
  <c r="B2628" i="1"/>
  <c r="A2628" i="1"/>
  <c r="U2682" i="1"/>
  <c r="R2682" i="1"/>
  <c r="Q2682" i="1"/>
  <c r="P2682" i="1"/>
  <c r="O2682" i="1"/>
  <c r="N2682" i="1"/>
  <c r="M2682" i="1"/>
  <c r="K2682" i="1"/>
  <c r="J2682" i="1"/>
  <c r="I2682" i="1"/>
  <c r="H2682" i="1"/>
  <c r="F2682" i="1"/>
  <c r="D2682" i="1"/>
  <c r="B2682" i="1"/>
  <c r="A2682" i="1"/>
  <c r="U194" i="1"/>
  <c r="R194" i="1"/>
  <c r="Q194" i="1"/>
  <c r="P194" i="1"/>
  <c r="O194" i="1"/>
  <c r="N194" i="1"/>
  <c r="M194" i="1"/>
  <c r="I194" i="1"/>
  <c r="H194" i="1"/>
  <c r="F194" i="1"/>
  <c r="D194" i="1"/>
  <c r="B194" i="1"/>
  <c r="A194" i="1"/>
  <c r="U133" i="1"/>
  <c r="R133" i="1"/>
  <c r="Q133" i="1"/>
  <c r="P133" i="1"/>
  <c r="O133" i="1"/>
  <c r="N133" i="1"/>
  <c r="M133" i="1"/>
  <c r="I133" i="1"/>
  <c r="H133" i="1"/>
  <c r="F133" i="1"/>
  <c r="D133" i="1"/>
  <c r="B133" i="1"/>
  <c r="A133" i="1"/>
  <c r="U657" i="1"/>
  <c r="R657" i="1"/>
  <c r="Q657" i="1"/>
  <c r="P657" i="1"/>
  <c r="O657" i="1"/>
  <c r="N657" i="1"/>
  <c r="M657" i="1"/>
  <c r="J657" i="1"/>
  <c r="I657" i="1"/>
  <c r="H657" i="1"/>
  <c r="F657" i="1"/>
  <c r="D657" i="1"/>
  <c r="B657" i="1"/>
  <c r="A657" i="1"/>
  <c r="U969" i="1"/>
  <c r="R969" i="1"/>
  <c r="Q969" i="1"/>
  <c r="P969" i="1"/>
  <c r="O969" i="1"/>
  <c r="N969" i="1"/>
  <c r="M969" i="1"/>
  <c r="I969" i="1"/>
  <c r="H969" i="1"/>
  <c r="F969" i="1"/>
  <c r="D969" i="1"/>
  <c r="B969" i="1"/>
  <c r="A969" i="1"/>
  <c r="U896" i="1"/>
  <c r="R896" i="1"/>
  <c r="Q896" i="1"/>
  <c r="P896" i="1"/>
  <c r="O896" i="1"/>
  <c r="N896" i="1"/>
  <c r="M896" i="1"/>
  <c r="I896" i="1"/>
  <c r="H896" i="1"/>
  <c r="F896" i="1"/>
  <c r="E896" i="1"/>
  <c r="D896" i="1"/>
  <c r="A896" i="1"/>
  <c r="U1166" i="1"/>
  <c r="R1166" i="1"/>
  <c r="Q1166" i="1"/>
  <c r="P1166" i="1"/>
  <c r="O1166" i="1"/>
  <c r="N1166" i="1"/>
  <c r="M1166" i="1"/>
  <c r="J1166" i="1"/>
  <c r="I1166" i="1"/>
  <c r="H1166" i="1"/>
  <c r="F1166" i="1"/>
  <c r="D1166" i="1"/>
  <c r="B1166" i="1"/>
  <c r="A1166" i="1"/>
  <c r="U2455" i="1"/>
  <c r="R2455" i="1"/>
  <c r="Q2455" i="1"/>
  <c r="P2455" i="1"/>
  <c r="O2455" i="1"/>
  <c r="N2455" i="1"/>
  <c r="M2455" i="1"/>
  <c r="J2455" i="1"/>
  <c r="I2455" i="1"/>
  <c r="H2455" i="1"/>
  <c r="F2455" i="1"/>
  <c r="D2455" i="1"/>
  <c r="B2455" i="1"/>
  <c r="A2455" i="1"/>
  <c r="U2503" i="1"/>
  <c r="R2503" i="1"/>
  <c r="Q2503" i="1"/>
  <c r="P2503" i="1"/>
  <c r="O2503" i="1"/>
  <c r="N2503" i="1"/>
  <c r="M2503" i="1"/>
  <c r="K2503" i="1"/>
  <c r="J2503" i="1"/>
  <c r="I2503" i="1"/>
  <c r="H2503" i="1"/>
  <c r="F2503" i="1"/>
  <c r="D2503" i="1"/>
  <c r="B2503" i="1"/>
  <c r="A2503" i="1"/>
  <c r="U2989" i="1"/>
  <c r="R2989" i="1"/>
  <c r="Q2989" i="1"/>
  <c r="P2989" i="1"/>
  <c r="O2989" i="1"/>
  <c r="N2989" i="1"/>
  <c r="M2989" i="1"/>
  <c r="K2989" i="1"/>
  <c r="J2989" i="1"/>
  <c r="I2989" i="1"/>
  <c r="H2989" i="1"/>
  <c r="F2989" i="1"/>
  <c r="D2989" i="1"/>
  <c r="B2989" i="1"/>
  <c r="A2989" i="1"/>
  <c r="U2852" i="1"/>
  <c r="R2852" i="1"/>
  <c r="Q2852" i="1"/>
  <c r="P2852" i="1"/>
  <c r="O2852" i="1"/>
  <c r="N2852" i="1"/>
  <c r="M2852" i="1"/>
  <c r="J2852" i="1"/>
  <c r="I2852" i="1"/>
  <c r="H2852" i="1"/>
  <c r="F2852" i="1"/>
  <c r="D2852" i="1"/>
  <c r="B2852" i="1"/>
  <c r="A2852" i="1"/>
  <c r="U3056" i="1"/>
  <c r="R3056" i="1"/>
  <c r="Q3056" i="1"/>
  <c r="P3056" i="1"/>
  <c r="O3056" i="1"/>
  <c r="N3056" i="1"/>
  <c r="M3056" i="1"/>
  <c r="J3056" i="1"/>
  <c r="I3056" i="1"/>
  <c r="H3056" i="1"/>
  <c r="F3056" i="1"/>
  <c r="D3056" i="1"/>
  <c r="B3056" i="1"/>
  <c r="A3056" i="1"/>
  <c r="U3231" i="1"/>
  <c r="R3231" i="1"/>
  <c r="Q3231" i="1"/>
  <c r="P3231" i="1"/>
  <c r="O3231" i="1"/>
  <c r="N3231" i="1"/>
  <c r="M3231" i="1"/>
  <c r="K3231" i="1"/>
  <c r="J3231" i="1"/>
  <c r="I3231" i="1"/>
  <c r="H3231" i="1"/>
  <c r="F3231" i="1"/>
  <c r="E3231" i="1"/>
  <c r="D3231" i="1"/>
  <c r="B3231" i="1"/>
  <c r="A3231" i="1"/>
  <c r="U107" i="1"/>
  <c r="R107" i="1"/>
  <c r="Q107" i="1"/>
  <c r="P107" i="1"/>
  <c r="O107" i="1"/>
  <c r="N107" i="1"/>
  <c r="M107" i="1"/>
  <c r="J107" i="1"/>
  <c r="I107" i="1"/>
  <c r="H107" i="1"/>
  <c r="F107" i="1"/>
  <c r="D107" i="1"/>
  <c r="B107" i="1"/>
  <c r="A107" i="1"/>
  <c r="U90" i="1"/>
  <c r="R90" i="1"/>
  <c r="Q90" i="1"/>
  <c r="P90" i="1"/>
  <c r="O90" i="1"/>
  <c r="N90" i="1"/>
  <c r="M90" i="1"/>
  <c r="I90" i="1"/>
  <c r="H90" i="1"/>
  <c r="F90" i="1"/>
  <c r="D90" i="1"/>
  <c r="B90" i="1"/>
  <c r="A90" i="1"/>
  <c r="U234" i="1"/>
  <c r="R234" i="1"/>
  <c r="Q234" i="1"/>
  <c r="P234" i="1"/>
  <c r="O234" i="1"/>
  <c r="N234" i="1"/>
  <c r="M234" i="1"/>
  <c r="J234" i="1"/>
  <c r="I234" i="1"/>
  <c r="H234" i="1"/>
  <c r="F234" i="1"/>
  <c r="D234" i="1"/>
  <c r="B234" i="1"/>
  <c r="A234" i="1"/>
  <c r="U199" i="1"/>
  <c r="R199" i="1"/>
  <c r="Q199" i="1"/>
  <c r="P199" i="1"/>
  <c r="O199" i="1"/>
  <c r="N199" i="1"/>
  <c r="M199" i="1"/>
  <c r="J199" i="1"/>
  <c r="I199" i="1"/>
  <c r="H199" i="1"/>
  <c r="F199" i="1"/>
  <c r="E199" i="1"/>
  <c r="D199" i="1"/>
  <c r="B199" i="1"/>
  <c r="A199" i="1"/>
  <c r="U126" i="1"/>
  <c r="R126" i="1"/>
  <c r="Q126" i="1"/>
  <c r="P126" i="1"/>
  <c r="O126" i="1"/>
  <c r="N126" i="1"/>
  <c r="M126" i="1"/>
  <c r="J126" i="1"/>
  <c r="I126" i="1"/>
  <c r="H126" i="1"/>
  <c r="F126" i="1"/>
  <c r="E126" i="1"/>
  <c r="D126" i="1"/>
  <c r="B126" i="1"/>
  <c r="A126" i="1"/>
  <c r="U120" i="1"/>
  <c r="R120" i="1"/>
  <c r="Q120" i="1"/>
  <c r="P120" i="1"/>
  <c r="O120" i="1"/>
  <c r="N120" i="1"/>
  <c r="M120" i="1"/>
  <c r="J120" i="1"/>
  <c r="I120" i="1"/>
  <c r="H120" i="1"/>
  <c r="F120" i="1"/>
  <c r="D120" i="1"/>
  <c r="B120" i="1"/>
  <c r="A120" i="1"/>
  <c r="U536" i="1"/>
  <c r="R536" i="1"/>
  <c r="Q536" i="1"/>
  <c r="P536" i="1"/>
  <c r="O536" i="1"/>
  <c r="N536" i="1"/>
  <c r="M536" i="1"/>
  <c r="J536" i="1"/>
  <c r="I536" i="1"/>
  <c r="H536" i="1"/>
  <c r="F536" i="1"/>
  <c r="D536" i="1"/>
  <c r="B536" i="1"/>
  <c r="A536" i="1"/>
  <c r="U675" i="1"/>
  <c r="R675" i="1"/>
  <c r="Q675" i="1"/>
  <c r="P675" i="1"/>
  <c r="O675" i="1"/>
  <c r="N675" i="1"/>
  <c r="M675" i="1"/>
  <c r="J675" i="1"/>
  <c r="I675" i="1"/>
  <c r="H675" i="1"/>
  <c r="F675" i="1"/>
  <c r="D675" i="1"/>
  <c r="B675" i="1"/>
  <c r="A675" i="1"/>
  <c r="U751" i="1"/>
  <c r="R751" i="1"/>
  <c r="Q751" i="1"/>
  <c r="P751" i="1"/>
  <c r="O751" i="1"/>
  <c r="N751" i="1"/>
  <c r="M751" i="1"/>
  <c r="J751" i="1"/>
  <c r="I751" i="1"/>
  <c r="H751" i="1"/>
  <c r="F751" i="1"/>
  <c r="E751" i="1"/>
  <c r="D751" i="1"/>
  <c r="B751" i="1"/>
  <c r="A751" i="1"/>
  <c r="U700" i="1"/>
  <c r="R700" i="1"/>
  <c r="Q700" i="1"/>
  <c r="P700" i="1"/>
  <c r="O700" i="1"/>
  <c r="N700" i="1"/>
  <c r="M700" i="1"/>
  <c r="J700" i="1"/>
  <c r="I700" i="1"/>
  <c r="H700" i="1"/>
  <c r="F700" i="1"/>
  <c r="D700" i="1"/>
  <c r="B700" i="1"/>
  <c r="A700" i="1"/>
  <c r="U1228" i="1"/>
  <c r="R1228" i="1"/>
  <c r="Q1228" i="1"/>
  <c r="P1228" i="1"/>
  <c r="O1228" i="1"/>
  <c r="N1228" i="1"/>
  <c r="M1228" i="1"/>
  <c r="K1228" i="1"/>
  <c r="J1228" i="1"/>
  <c r="I1228" i="1"/>
  <c r="H1228" i="1"/>
  <c r="F1228" i="1"/>
  <c r="D1228" i="1"/>
  <c r="B1228" i="1"/>
  <c r="A1228" i="1"/>
  <c r="U1390" i="1"/>
  <c r="R1390" i="1"/>
  <c r="Q1390" i="1"/>
  <c r="P1390" i="1"/>
  <c r="O1390" i="1"/>
  <c r="N1390" i="1"/>
  <c r="M1390" i="1"/>
  <c r="K1390" i="1"/>
  <c r="J1390" i="1"/>
  <c r="I1390" i="1"/>
  <c r="H1390" i="1"/>
  <c r="F1390" i="1"/>
  <c r="D1390" i="1"/>
  <c r="B1390" i="1"/>
  <c r="A1390" i="1"/>
  <c r="U2266" i="1"/>
  <c r="R2266" i="1"/>
  <c r="Q2266" i="1"/>
  <c r="P2266" i="1"/>
  <c r="O2266" i="1"/>
  <c r="N2266" i="1"/>
  <c r="M2266" i="1"/>
  <c r="K2266" i="1"/>
  <c r="J2266" i="1"/>
  <c r="I2266" i="1"/>
  <c r="H2266" i="1"/>
  <c r="F2266" i="1"/>
  <c r="E2266" i="1"/>
  <c r="D2266" i="1"/>
  <c r="B2266" i="1"/>
  <c r="A2266" i="1"/>
  <c r="U2504" i="1"/>
  <c r="R2504" i="1"/>
  <c r="Q2504" i="1"/>
  <c r="P2504" i="1"/>
  <c r="O2504" i="1"/>
  <c r="N2504" i="1"/>
  <c r="M2504" i="1"/>
  <c r="K2504" i="1"/>
  <c r="J2504" i="1"/>
  <c r="I2504" i="1"/>
  <c r="H2504" i="1"/>
  <c r="F2504" i="1"/>
  <c r="D2504" i="1"/>
  <c r="B2504" i="1"/>
  <c r="A2504" i="1"/>
  <c r="U2131" i="1"/>
  <c r="R2131" i="1"/>
  <c r="Q2131" i="1"/>
  <c r="P2131" i="1"/>
  <c r="O2131" i="1"/>
  <c r="N2131" i="1"/>
  <c r="M2131" i="1"/>
  <c r="K2131" i="1"/>
  <c r="J2131" i="1"/>
  <c r="I2131" i="1"/>
  <c r="H2131" i="1"/>
  <c r="F2131" i="1"/>
  <c r="D2131" i="1"/>
  <c r="A2131" i="1"/>
  <c r="U2130" i="1"/>
  <c r="R2130" i="1"/>
  <c r="Q2130" i="1"/>
  <c r="P2130" i="1"/>
  <c r="O2130" i="1"/>
  <c r="N2130" i="1"/>
  <c r="M2130" i="1"/>
  <c r="K2130" i="1"/>
  <c r="J2130" i="1"/>
  <c r="I2130" i="1"/>
  <c r="H2130" i="1"/>
  <c r="G2130" i="1"/>
  <c r="F2130" i="1"/>
  <c r="D2130" i="1"/>
  <c r="B2130" i="1"/>
  <c r="A2130" i="1"/>
  <c r="U2179" i="1"/>
  <c r="R2179" i="1"/>
  <c r="Q2179" i="1"/>
  <c r="P2179" i="1"/>
  <c r="O2179" i="1"/>
  <c r="N2179" i="1"/>
  <c r="M2179" i="1"/>
  <c r="K2179" i="1"/>
  <c r="J2179" i="1"/>
  <c r="I2179" i="1"/>
  <c r="H2179" i="1"/>
  <c r="F2179" i="1"/>
  <c r="D2179" i="1"/>
  <c r="B2179" i="1"/>
  <c r="A2179" i="1"/>
  <c r="U2467" i="1"/>
  <c r="R2467" i="1"/>
  <c r="Q2467" i="1"/>
  <c r="P2467" i="1"/>
  <c r="O2467" i="1"/>
  <c r="N2467" i="1"/>
  <c r="M2467" i="1"/>
  <c r="J2467" i="1"/>
  <c r="I2467" i="1"/>
  <c r="H2467" i="1"/>
  <c r="F2467" i="1"/>
  <c r="D2467" i="1"/>
  <c r="B2467" i="1"/>
  <c r="A2467" i="1"/>
  <c r="U2511" i="1"/>
  <c r="R2511" i="1"/>
  <c r="Q2511" i="1"/>
  <c r="P2511" i="1"/>
  <c r="O2511" i="1"/>
  <c r="N2511" i="1"/>
  <c r="M2511" i="1"/>
  <c r="K2511" i="1"/>
  <c r="J2511" i="1"/>
  <c r="I2511" i="1"/>
  <c r="H2511" i="1"/>
  <c r="F2511" i="1"/>
  <c r="E2511" i="1"/>
  <c r="D2511" i="1"/>
  <c r="B2511" i="1"/>
  <c r="A2511" i="1"/>
  <c r="U2627" i="1"/>
  <c r="R2627" i="1"/>
  <c r="Q2627" i="1"/>
  <c r="P2627" i="1"/>
  <c r="O2627" i="1"/>
  <c r="N2627" i="1"/>
  <c r="M2627" i="1"/>
  <c r="J2627" i="1"/>
  <c r="I2627" i="1"/>
  <c r="H2627" i="1"/>
  <c r="F2627" i="1"/>
  <c r="D2627" i="1"/>
  <c r="B2627" i="1"/>
  <c r="A2627" i="1"/>
  <c r="U2668" i="1"/>
  <c r="R2668" i="1"/>
  <c r="Q2668" i="1"/>
  <c r="P2668" i="1"/>
  <c r="O2668" i="1"/>
  <c r="N2668" i="1"/>
  <c r="M2668" i="1"/>
  <c r="J2668" i="1"/>
  <c r="I2668" i="1"/>
  <c r="H2668" i="1"/>
  <c r="G2668" i="1"/>
  <c r="F2668" i="1"/>
  <c r="D2668" i="1"/>
  <c r="B2668" i="1"/>
  <c r="A2668" i="1"/>
  <c r="U2553" i="1"/>
  <c r="R2553" i="1"/>
  <c r="Q2553" i="1"/>
  <c r="P2553" i="1"/>
  <c r="O2553" i="1"/>
  <c r="N2553" i="1"/>
  <c r="M2553" i="1"/>
  <c r="J2553" i="1"/>
  <c r="I2553" i="1"/>
  <c r="H2553" i="1"/>
  <c r="F2553" i="1"/>
  <c r="E2553" i="1"/>
  <c r="D2553" i="1"/>
  <c r="B2553" i="1"/>
  <c r="A2553" i="1"/>
  <c r="U2671" i="1"/>
  <c r="R2671" i="1"/>
  <c r="Q2671" i="1"/>
  <c r="P2671" i="1"/>
  <c r="O2671" i="1"/>
  <c r="N2671" i="1"/>
  <c r="M2671" i="1"/>
  <c r="J2671" i="1"/>
  <c r="I2671" i="1"/>
  <c r="H2671" i="1"/>
  <c r="F2671" i="1"/>
  <c r="D2671" i="1"/>
  <c r="B2671" i="1"/>
  <c r="A2671" i="1"/>
  <c r="U2938" i="1"/>
  <c r="R2938" i="1"/>
  <c r="Q2938" i="1"/>
  <c r="P2938" i="1"/>
  <c r="O2938" i="1"/>
  <c r="N2938" i="1"/>
  <c r="M2938" i="1"/>
  <c r="J2938" i="1"/>
  <c r="I2938" i="1"/>
  <c r="H2938" i="1"/>
  <c r="F2938" i="1"/>
  <c r="D2938" i="1"/>
  <c r="B2938" i="1"/>
  <c r="A2938" i="1"/>
  <c r="U3176" i="1"/>
  <c r="R3176" i="1"/>
  <c r="Q3176" i="1"/>
  <c r="P3176" i="1"/>
  <c r="O3176" i="1"/>
  <c r="N3176" i="1"/>
  <c r="M3176" i="1"/>
  <c r="J3176" i="1"/>
  <c r="I3176" i="1"/>
  <c r="H3176" i="1"/>
  <c r="F3176" i="1"/>
  <c r="D3176" i="1"/>
  <c r="B3176" i="1"/>
  <c r="A3176" i="1"/>
  <c r="U34" i="1"/>
  <c r="R34" i="1"/>
  <c r="Q34" i="1"/>
  <c r="P34" i="1"/>
  <c r="O34" i="1"/>
  <c r="N34" i="1"/>
  <c r="M34" i="1"/>
  <c r="J34" i="1"/>
  <c r="I34" i="1"/>
  <c r="H34" i="1"/>
  <c r="F34" i="1"/>
  <c r="D34" i="1"/>
  <c r="B34" i="1"/>
  <c r="A34" i="1"/>
  <c r="U59" i="1"/>
  <c r="R59" i="1"/>
  <c r="Q59" i="1"/>
  <c r="P59" i="1"/>
  <c r="O59" i="1"/>
  <c r="N59" i="1"/>
  <c r="M59" i="1"/>
  <c r="J59" i="1"/>
  <c r="I59" i="1"/>
  <c r="H59" i="1"/>
  <c r="F59" i="1"/>
  <c r="D59" i="1"/>
  <c r="B59" i="1"/>
  <c r="A59" i="1"/>
  <c r="U215" i="1"/>
  <c r="R215" i="1"/>
  <c r="Q215" i="1"/>
  <c r="P215" i="1"/>
  <c r="O215" i="1"/>
  <c r="N215" i="1"/>
  <c r="M215" i="1"/>
  <c r="J215" i="1"/>
  <c r="I215" i="1"/>
  <c r="H215" i="1"/>
  <c r="F215" i="1"/>
  <c r="D215" i="1"/>
  <c r="B215" i="1"/>
  <c r="A215" i="1"/>
  <c r="U264" i="1"/>
  <c r="R264" i="1"/>
  <c r="Q264" i="1"/>
  <c r="P264" i="1"/>
  <c r="O264" i="1"/>
  <c r="N264" i="1"/>
  <c r="M264" i="1"/>
  <c r="J264" i="1"/>
  <c r="I264" i="1"/>
  <c r="H264" i="1"/>
  <c r="F264" i="1"/>
  <c r="D264" i="1"/>
  <c r="B264" i="1"/>
  <c r="A264" i="1"/>
  <c r="U344" i="1"/>
  <c r="R344" i="1"/>
  <c r="Q344" i="1"/>
  <c r="P344" i="1"/>
  <c r="O344" i="1"/>
  <c r="N344" i="1"/>
  <c r="M344" i="1"/>
  <c r="J344" i="1"/>
  <c r="I344" i="1"/>
  <c r="H344" i="1"/>
  <c r="F344" i="1"/>
  <c r="D344" i="1"/>
  <c r="B344" i="1"/>
  <c r="A344" i="1"/>
  <c r="U317" i="1"/>
  <c r="R317" i="1"/>
  <c r="Q317" i="1"/>
  <c r="P317" i="1"/>
  <c r="O317" i="1"/>
  <c r="N317" i="1"/>
  <c r="M317" i="1"/>
  <c r="J317" i="1"/>
  <c r="I317" i="1"/>
  <c r="H317" i="1"/>
  <c r="F317" i="1"/>
  <c r="D317" i="1"/>
  <c r="A317" i="1"/>
  <c r="U462" i="1"/>
  <c r="R462" i="1"/>
  <c r="Q462" i="1"/>
  <c r="P462" i="1"/>
  <c r="O462" i="1"/>
  <c r="N462" i="1"/>
  <c r="M462" i="1"/>
  <c r="J462" i="1"/>
  <c r="I462" i="1"/>
  <c r="H462" i="1"/>
  <c r="F462" i="1"/>
  <c r="D462" i="1"/>
  <c r="B462" i="1"/>
  <c r="A462" i="1"/>
  <c r="U465" i="1"/>
  <c r="R465" i="1"/>
  <c r="Q465" i="1"/>
  <c r="P465" i="1"/>
  <c r="O465" i="1"/>
  <c r="N465" i="1"/>
  <c r="M465" i="1"/>
  <c r="J465" i="1"/>
  <c r="I465" i="1"/>
  <c r="H465" i="1"/>
  <c r="F465" i="1"/>
  <c r="D465" i="1"/>
  <c r="A465" i="1"/>
  <c r="U198" i="1"/>
  <c r="R198" i="1"/>
  <c r="Q198" i="1"/>
  <c r="P198" i="1"/>
  <c r="O198" i="1"/>
  <c r="N198" i="1"/>
  <c r="M198" i="1"/>
  <c r="J198" i="1"/>
  <c r="I198" i="1"/>
  <c r="H198" i="1"/>
  <c r="F198" i="1"/>
  <c r="D198" i="1"/>
  <c r="B198" i="1"/>
  <c r="A198" i="1"/>
  <c r="U566" i="1"/>
  <c r="R566" i="1"/>
  <c r="Q566" i="1"/>
  <c r="P566" i="1"/>
  <c r="O566" i="1"/>
  <c r="N566" i="1"/>
  <c r="M566" i="1"/>
  <c r="J566" i="1"/>
  <c r="I566" i="1"/>
  <c r="H566" i="1"/>
  <c r="F566" i="1"/>
  <c r="E566" i="1"/>
  <c r="D566" i="1"/>
  <c r="A566" i="1"/>
  <c r="U741" i="1"/>
  <c r="R741" i="1"/>
  <c r="Q741" i="1"/>
  <c r="P741" i="1"/>
  <c r="O741" i="1"/>
  <c r="N741" i="1"/>
  <c r="M741" i="1"/>
  <c r="I741" i="1"/>
  <c r="H741" i="1"/>
  <c r="F741" i="1"/>
  <c r="D741" i="1"/>
  <c r="A741" i="1"/>
  <c r="U893" i="1"/>
  <c r="R893" i="1"/>
  <c r="Q893" i="1"/>
  <c r="P893" i="1"/>
  <c r="O893" i="1"/>
  <c r="N893" i="1"/>
  <c r="M893" i="1"/>
  <c r="J893" i="1"/>
  <c r="I893" i="1"/>
  <c r="H893" i="1"/>
  <c r="F893" i="1"/>
  <c r="D893" i="1"/>
  <c r="B893" i="1"/>
  <c r="A893" i="1"/>
  <c r="U1167" i="1"/>
  <c r="R1167" i="1"/>
  <c r="Q1167" i="1"/>
  <c r="P1167" i="1"/>
  <c r="O1167" i="1"/>
  <c r="N1167" i="1"/>
  <c r="M1167" i="1"/>
  <c r="J1167" i="1"/>
  <c r="I1167" i="1"/>
  <c r="H1167" i="1"/>
  <c r="G1167" i="1"/>
  <c r="F1167" i="1"/>
  <c r="D1167" i="1"/>
  <c r="A1167" i="1"/>
  <c r="U1341" i="1"/>
  <c r="R1341" i="1"/>
  <c r="Q1341" i="1"/>
  <c r="P1341" i="1"/>
  <c r="O1341" i="1"/>
  <c r="N1341" i="1"/>
  <c r="M1341" i="1"/>
  <c r="J1341" i="1"/>
  <c r="I1341" i="1"/>
  <c r="H1341" i="1"/>
  <c r="F1341" i="1"/>
  <c r="D1341" i="1"/>
  <c r="B1341" i="1"/>
  <c r="A1341" i="1"/>
  <c r="U1576" i="1"/>
  <c r="R1576" i="1"/>
  <c r="Q1576" i="1"/>
  <c r="P1576" i="1"/>
  <c r="O1576" i="1"/>
  <c r="N1576" i="1"/>
  <c r="M1576" i="1"/>
  <c r="J1576" i="1"/>
  <c r="I1576" i="1"/>
  <c r="H1576" i="1"/>
  <c r="F1576" i="1"/>
  <c r="D1576" i="1"/>
  <c r="B1576" i="1"/>
  <c r="A1576" i="1"/>
  <c r="U2077" i="1"/>
  <c r="R2077" i="1"/>
  <c r="Q2077" i="1"/>
  <c r="P2077" i="1"/>
  <c r="O2077" i="1"/>
  <c r="N2077" i="1"/>
  <c r="M2077" i="1"/>
  <c r="K2077" i="1"/>
  <c r="J2077" i="1"/>
  <c r="I2077" i="1"/>
  <c r="H2077" i="1"/>
  <c r="F2077" i="1"/>
  <c r="D2077" i="1"/>
  <c r="B2077" i="1"/>
  <c r="A2077" i="1"/>
  <c r="U2375" i="1"/>
  <c r="R2375" i="1"/>
  <c r="Q2375" i="1"/>
  <c r="P2375" i="1"/>
  <c r="O2375" i="1"/>
  <c r="N2375" i="1"/>
  <c r="M2375" i="1"/>
  <c r="K2375" i="1"/>
  <c r="J2375" i="1"/>
  <c r="I2375" i="1"/>
  <c r="H2375" i="1"/>
  <c r="F2375" i="1"/>
  <c r="E2375" i="1"/>
  <c r="D2375" i="1"/>
  <c r="B2375" i="1"/>
  <c r="A2375" i="1"/>
  <c r="U2149" i="1"/>
  <c r="R2149" i="1"/>
  <c r="Q2149" i="1"/>
  <c r="P2149" i="1"/>
  <c r="O2149" i="1"/>
  <c r="N2149" i="1"/>
  <c r="M2149" i="1"/>
  <c r="K2149" i="1"/>
  <c r="J2149" i="1"/>
  <c r="I2149" i="1"/>
  <c r="H2149" i="1"/>
  <c r="F2149" i="1"/>
  <c r="D2149" i="1"/>
  <c r="B2149" i="1"/>
  <c r="A2149" i="1"/>
  <c r="U2444" i="1"/>
  <c r="R2444" i="1"/>
  <c r="Q2444" i="1"/>
  <c r="P2444" i="1"/>
  <c r="O2444" i="1"/>
  <c r="N2444" i="1"/>
  <c r="M2444" i="1"/>
  <c r="K2444" i="1"/>
  <c r="J2444" i="1"/>
  <c r="I2444" i="1"/>
  <c r="H2444" i="1"/>
  <c r="F2444" i="1"/>
  <c r="D2444" i="1"/>
  <c r="A2444" i="1"/>
  <c r="U2255" i="1"/>
  <c r="R2255" i="1"/>
  <c r="Q2255" i="1"/>
  <c r="P2255" i="1"/>
  <c r="O2255" i="1"/>
  <c r="N2255" i="1"/>
  <c r="M2255" i="1"/>
  <c r="J2255" i="1"/>
  <c r="I2255" i="1"/>
  <c r="H2255" i="1"/>
  <c r="F2255" i="1"/>
  <c r="D2255" i="1"/>
  <c r="B2255" i="1"/>
  <c r="A2255" i="1"/>
  <c r="U2254" i="1"/>
  <c r="R2254" i="1"/>
  <c r="Q2254" i="1"/>
  <c r="P2254" i="1"/>
  <c r="O2254" i="1"/>
  <c r="N2254" i="1"/>
  <c r="M2254" i="1"/>
  <c r="J2254" i="1"/>
  <c r="I2254" i="1"/>
  <c r="H2254" i="1"/>
  <c r="F2254" i="1"/>
  <c r="D2254" i="1"/>
  <c r="B2254" i="1"/>
  <c r="A2254" i="1"/>
  <c r="U2253" i="1"/>
  <c r="R2253" i="1"/>
  <c r="Q2253" i="1"/>
  <c r="P2253" i="1"/>
  <c r="O2253" i="1"/>
  <c r="N2253" i="1"/>
  <c r="M2253" i="1"/>
  <c r="J2253" i="1"/>
  <c r="I2253" i="1"/>
  <c r="H2253" i="1"/>
  <c r="F2253" i="1"/>
  <c r="D2253" i="1"/>
  <c r="B2253" i="1"/>
  <c r="A2253" i="1"/>
  <c r="U2252" i="1"/>
  <c r="R2252" i="1"/>
  <c r="Q2252" i="1"/>
  <c r="P2252" i="1"/>
  <c r="O2252" i="1"/>
  <c r="N2252" i="1"/>
  <c r="M2252" i="1"/>
  <c r="J2252" i="1"/>
  <c r="I2252" i="1"/>
  <c r="H2252" i="1"/>
  <c r="F2252" i="1"/>
  <c r="D2252" i="1"/>
  <c r="B2252" i="1"/>
  <c r="A2252" i="1"/>
  <c r="U2251" i="1"/>
  <c r="R2251" i="1"/>
  <c r="Q2251" i="1"/>
  <c r="P2251" i="1"/>
  <c r="O2251" i="1"/>
  <c r="N2251" i="1"/>
  <c r="M2251" i="1"/>
  <c r="J2251" i="1"/>
  <c r="I2251" i="1"/>
  <c r="H2251" i="1"/>
  <c r="F2251" i="1"/>
  <c r="D2251" i="1"/>
  <c r="B2251" i="1"/>
  <c r="A2251" i="1"/>
  <c r="U2229" i="1"/>
  <c r="R2229" i="1"/>
  <c r="Q2229" i="1"/>
  <c r="P2229" i="1"/>
  <c r="O2229" i="1"/>
  <c r="N2229" i="1"/>
  <c r="M2229" i="1"/>
  <c r="J2229" i="1"/>
  <c r="I2229" i="1"/>
  <c r="H2229" i="1"/>
  <c r="F2229" i="1"/>
  <c r="D2229" i="1"/>
  <c r="B2229" i="1"/>
  <c r="A2229" i="1"/>
  <c r="U2250" i="1"/>
  <c r="R2250" i="1"/>
  <c r="Q2250" i="1"/>
  <c r="P2250" i="1"/>
  <c r="O2250" i="1"/>
  <c r="N2250" i="1"/>
  <c r="M2250" i="1"/>
  <c r="J2250" i="1"/>
  <c r="I2250" i="1"/>
  <c r="H2250" i="1"/>
  <c r="F2250" i="1"/>
  <c r="D2250" i="1"/>
  <c r="B2250" i="1"/>
  <c r="A2250" i="1"/>
  <c r="U2249" i="1"/>
  <c r="R2249" i="1"/>
  <c r="Q2249" i="1"/>
  <c r="P2249" i="1"/>
  <c r="O2249" i="1"/>
  <c r="N2249" i="1"/>
  <c r="M2249" i="1"/>
  <c r="J2249" i="1"/>
  <c r="I2249" i="1"/>
  <c r="H2249" i="1"/>
  <c r="F2249" i="1"/>
  <c r="D2249" i="1"/>
  <c r="B2249" i="1"/>
  <c r="A2249" i="1"/>
  <c r="U2530" i="1"/>
  <c r="R2530" i="1"/>
  <c r="Q2530" i="1"/>
  <c r="P2530" i="1"/>
  <c r="O2530" i="1"/>
  <c r="N2530" i="1"/>
  <c r="M2530" i="1"/>
  <c r="J2530" i="1"/>
  <c r="I2530" i="1"/>
  <c r="H2530" i="1"/>
  <c r="F2530" i="1"/>
  <c r="D2530" i="1"/>
  <c r="B2530" i="1"/>
  <c r="A2530" i="1"/>
  <c r="U2248" i="1"/>
  <c r="R2248" i="1"/>
  <c r="Q2248" i="1"/>
  <c r="P2248" i="1"/>
  <c r="O2248" i="1"/>
  <c r="N2248" i="1"/>
  <c r="M2248" i="1"/>
  <c r="J2248" i="1"/>
  <c r="I2248" i="1"/>
  <c r="H2248" i="1"/>
  <c r="F2248" i="1"/>
  <c r="D2248" i="1"/>
  <c r="B2248" i="1"/>
  <c r="A2248" i="1"/>
  <c r="U2228" i="1"/>
  <c r="R2228" i="1"/>
  <c r="Q2228" i="1"/>
  <c r="P2228" i="1"/>
  <c r="O2228" i="1"/>
  <c r="N2228" i="1"/>
  <c r="M2228" i="1"/>
  <c r="J2228" i="1"/>
  <c r="I2228" i="1"/>
  <c r="H2228" i="1"/>
  <c r="F2228" i="1"/>
  <c r="D2228" i="1"/>
  <c r="B2228" i="1"/>
  <c r="A2228" i="1"/>
  <c r="U2227" i="1"/>
  <c r="R2227" i="1"/>
  <c r="Q2227" i="1"/>
  <c r="P2227" i="1"/>
  <c r="O2227" i="1"/>
  <c r="N2227" i="1"/>
  <c r="M2227" i="1"/>
  <c r="J2227" i="1"/>
  <c r="I2227" i="1"/>
  <c r="H2227" i="1"/>
  <c r="F2227" i="1"/>
  <c r="D2227" i="1"/>
  <c r="B2227" i="1"/>
  <c r="A2227" i="1"/>
  <c r="U2263" i="1"/>
  <c r="R2263" i="1"/>
  <c r="Q2263" i="1"/>
  <c r="P2263" i="1"/>
  <c r="O2263" i="1"/>
  <c r="N2263" i="1"/>
  <c r="M2263" i="1"/>
  <c r="J2263" i="1"/>
  <c r="I2263" i="1"/>
  <c r="H2263" i="1"/>
  <c r="F2263" i="1"/>
  <c r="D2263" i="1"/>
  <c r="B2263" i="1"/>
  <c r="A2263" i="1"/>
  <c r="U2247" i="1"/>
  <c r="R2247" i="1"/>
  <c r="Q2247" i="1"/>
  <c r="P2247" i="1"/>
  <c r="O2247" i="1"/>
  <c r="N2247" i="1"/>
  <c r="M2247" i="1"/>
  <c r="J2247" i="1"/>
  <c r="I2247" i="1"/>
  <c r="H2247" i="1"/>
  <c r="F2247" i="1"/>
  <c r="D2247" i="1"/>
  <c r="B2247" i="1"/>
  <c r="A2247" i="1"/>
  <c r="U2236" i="1"/>
  <c r="R2236" i="1"/>
  <c r="Q2236" i="1"/>
  <c r="P2236" i="1"/>
  <c r="O2236" i="1"/>
  <c r="N2236" i="1"/>
  <c r="M2236" i="1"/>
  <c r="J2236" i="1"/>
  <c r="I2236" i="1"/>
  <c r="H2236" i="1"/>
  <c r="F2236" i="1"/>
  <c r="D2236" i="1"/>
  <c r="B2236" i="1"/>
  <c r="A2236" i="1"/>
  <c r="U1744" i="1"/>
  <c r="R1744" i="1"/>
  <c r="Q1744" i="1"/>
  <c r="P1744" i="1"/>
  <c r="O1744" i="1"/>
  <c r="N1744" i="1"/>
  <c r="M1744" i="1"/>
  <c r="J1744" i="1"/>
  <c r="I1744" i="1"/>
  <c r="H1744" i="1"/>
  <c r="F1744" i="1"/>
  <c r="D1744" i="1"/>
  <c r="B1744" i="1"/>
  <c r="A1744" i="1"/>
  <c r="U2226" i="1"/>
  <c r="R2226" i="1"/>
  <c r="Q2226" i="1"/>
  <c r="P2226" i="1"/>
  <c r="O2226" i="1"/>
  <c r="N2226" i="1"/>
  <c r="M2226" i="1"/>
  <c r="J2226" i="1"/>
  <c r="I2226" i="1"/>
  <c r="H2226" i="1"/>
  <c r="F2226" i="1"/>
  <c r="D2226" i="1"/>
  <c r="B2226" i="1"/>
  <c r="A2226" i="1"/>
  <c r="U2218" i="1"/>
  <c r="R2218" i="1"/>
  <c r="Q2218" i="1"/>
  <c r="P2218" i="1"/>
  <c r="O2218" i="1"/>
  <c r="N2218" i="1"/>
  <c r="M2218" i="1"/>
  <c r="J2218" i="1"/>
  <c r="I2218" i="1"/>
  <c r="H2218" i="1"/>
  <c r="F2218" i="1"/>
  <c r="D2218" i="1"/>
  <c r="B2218" i="1"/>
  <c r="A2218" i="1"/>
  <c r="U2225" i="1"/>
  <c r="R2225" i="1"/>
  <c r="Q2225" i="1"/>
  <c r="P2225" i="1"/>
  <c r="O2225" i="1"/>
  <c r="N2225" i="1"/>
  <c r="M2225" i="1"/>
  <c r="J2225" i="1"/>
  <c r="I2225" i="1"/>
  <c r="H2225" i="1"/>
  <c r="F2225" i="1"/>
  <c r="D2225" i="1"/>
  <c r="B2225" i="1"/>
  <c r="A2225" i="1"/>
  <c r="U2217" i="1"/>
  <c r="R2217" i="1"/>
  <c r="Q2217" i="1"/>
  <c r="P2217" i="1"/>
  <c r="O2217" i="1"/>
  <c r="N2217" i="1"/>
  <c r="M2217" i="1"/>
  <c r="K2217" i="1"/>
  <c r="J2217" i="1"/>
  <c r="I2217" i="1"/>
  <c r="H2217" i="1"/>
  <c r="F2217" i="1"/>
  <c r="D2217" i="1"/>
  <c r="B2217" i="1"/>
  <c r="A2217" i="1"/>
  <c r="U1743" i="1"/>
  <c r="R1743" i="1"/>
  <c r="Q1743" i="1"/>
  <c r="P1743" i="1"/>
  <c r="O1743" i="1"/>
  <c r="N1743" i="1"/>
  <c r="M1743" i="1"/>
  <c r="J1743" i="1"/>
  <c r="I1743" i="1"/>
  <c r="H1743" i="1"/>
  <c r="F1743" i="1"/>
  <c r="D1743" i="1"/>
  <c r="B1743" i="1"/>
  <c r="A1743" i="1"/>
  <c r="U2177" i="1"/>
  <c r="R2177" i="1"/>
  <c r="Q2177" i="1"/>
  <c r="P2177" i="1"/>
  <c r="O2177" i="1"/>
  <c r="N2177" i="1"/>
  <c r="M2177" i="1"/>
  <c r="J2177" i="1"/>
  <c r="I2177" i="1"/>
  <c r="H2177" i="1"/>
  <c r="F2177" i="1"/>
  <c r="D2177" i="1"/>
  <c r="B2177" i="1"/>
  <c r="A2177" i="1"/>
  <c r="U2235" i="1"/>
  <c r="R2235" i="1"/>
  <c r="Q2235" i="1"/>
  <c r="P2235" i="1"/>
  <c r="O2235" i="1"/>
  <c r="N2235" i="1"/>
  <c r="M2235" i="1"/>
  <c r="J2235" i="1"/>
  <c r="I2235" i="1"/>
  <c r="H2235" i="1"/>
  <c r="F2235" i="1"/>
  <c r="D2235" i="1"/>
  <c r="B2235" i="1"/>
  <c r="A2235" i="1"/>
  <c r="U1389" i="1"/>
  <c r="R1389" i="1"/>
  <c r="Q1389" i="1"/>
  <c r="P1389" i="1"/>
  <c r="O1389" i="1"/>
  <c r="N1389" i="1"/>
  <c r="M1389" i="1"/>
  <c r="J1389" i="1"/>
  <c r="I1389" i="1"/>
  <c r="H1389" i="1"/>
  <c r="F1389" i="1"/>
  <c r="D1389" i="1"/>
  <c r="B1389" i="1"/>
  <c r="A1389" i="1"/>
  <c r="U2261" i="1"/>
  <c r="R2261" i="1"/>
  <c r="Q2261" i="1"/>
  <c r="P2261" i="1"/>
  <c r="O2261" i="1"/>
  <c r="N2261" i="1"/>
  <c r="M2261" i="1"/>
  <c r="J2261" i="1"/>
  <c r="I2261" i="1"/>
  <c r="H2261" i="1"/>
  <c r="F2261" i="1"/>
  <c r="D2261" i="1"/>
  <c r="B2261" i="1"/>
  <c r="A2261" i="1"/>
  <c r="U2216" i="1"/>
  <c r="R2216" i="1"/>
  <c r="Q2216" i="1"/>
  <c r="P2216" i="1"/>
  <c r="O2216" i="1"/>
  <c r="N2216" i="1"/>
  <c r="M2216" i="1"/>
  <c r="J2216" i="1"/>
  <c r="I2216" i="1"/>
  <c r="H2216" i="1"/>
  <c r="F2216" i="1"/>
  <c r="D2216" i="1"/>
  <c r="B2216" i="1"/>
  <c r="A2216" i="1"/>
  <c r="U2215" i="1"/>
  <c r="R2215" i="1"/>
  <c r="Q2215" i="1"/>
  <c r="P2215" i="1"/>
  <c r="O2215" i="1"/>
  <c r="N2215" i="1"/>
  <c r="M2215" i="1"/>
  <c r="J2215" i="1"/>
  <c r="I2215" i="1"/>
  <c r="H2215" i="1"/>
  <c r="F2215" i="1"/>
  <c r="D2215" i="1"/>
  <c r="B2215" i="1"/>
  <c r="A2215" i="1"/>
  <c r="U1558" i="1"/>
  <c r="R1558" i="1"/>
  <c r="Q1558" i="1"/>
  <c r="P1558" i="1"/>
  <c r="O1558" i="1"/>
  <c r="N1558" i="1"/>
  <c r="M1558" i="1"/>
  <c r="J1558" i="1"/>
  <c r="I1558" i="1"/>
  <c r="H1558" i="1"/>
  <c r="F1558" i="1"/>
  <c r="E1558" i="1"/>
  <c r="D1558" i="1"/>
  <c r="B1558" i="1"/>
  <c r="A1558" i="1"/>
  <c r="U2224" i="1"/>
  <c r="R2224" i="1"/>
  <c r="Q2224" i="1"/>
  <c r="P2224" i="1"/>
  <c r="O2224" i="1"/>
  <c r="N2224" i="1"/>
  <c r="M2224" i="1"/>
  <c r="J2224" i="1"/>
  <c r="I2224" i="1"/>
  <c r="H2224" i="1"/>
  <c r="F2224" i="1"/>
  <c r="D2224" i="1"/>
  <c r="B2224" i="1"/>
  <c r="A2224" i="1"/>
  <c r="U2223" i="1"/>
  <c r="R2223" i="1"/>
  <c r="Q2223" i="1"/>
  <c r="P2223" i="1"/>
  <c r="O2223" i="1"/>
  <c r="N2223" i="1"/>
  <c r="M2223" i="1"/>
  <c r="J2223" i="1"/>
  <c r="I2223" i="1"/>
  <c r="H2223" i="1"/>
  <c r="F2223" i="1"/>
  <c r="D2223" i="1"/>
  <c r="B2223" i="1"/>
  <c r="A2223" i="1"/>
  <c r="U2222" i="1"/>
  <c r="R2222" i="1"/>
  <c r="Q2222" i="1"/>
  <c r="P2222" i="1"/>
  <c r="O2222" i="1"/>
  <c r="N2222" i="1"/>
  <c r="M2222" i="1"/>
  <c r="J2222" i="1"/>
  <c r="I2222" i="1"/>
  <c r="H2222" i="1"/>
  <c r="F2222" i="1"/>
  <c r="D2222" i="1"/>
  <c r="B2222" i="1"/>
  <c r="A2222" i="1"/>
  <c r="U2246" i="1"/>
  <c r="R2246" i="1"/>
  <c r="Q2246" i="1"/>
  <c r="P2246" i="1"/>
  <c r="O2246" i="1"/>
  <c r="N2246" i="1"/>
  <c r="M2246" i="1"/>
  <c r="J2246" i="1"/>
  <c r="I2246" i="1"/>
  <c r="H2246" i="1"/>
  <c r="F2246" i="1"/>
  <c r="D2246" i="1"/>
  <c r="B2246" i="1"/>
  <c r="A2246" i="1"/>
  <c r="U1374" i="1"/>
  <c r="R1374" i="1"/>
  <c r="Q1374" i="1"/>
  <c r="P1374" i="1"/>
  <c r="O1374" i="1"/>
  <c r="N1374" i="1"/>
  <c r="M1374" i="1"/>
  <c r="J1374" i="1"/>
  <c r="I1374" i="1"/>
  <c r="H1374" i="1"/>
  <c r="F1374" i="1"/>
  <c r="E1374" i="1"/>
  <c r="D1374" i="1"/>
  <c r="B1374" i="1"/>
  <c r="A1374" i="1"/>
  <c r="U2499" i="1"/>
  <c r="R2499" i="1"/>
  <c r="Q2499" i="1"/>
  <c r="P2499" i="1"/>
  <c r="O2499" i="1"/>
  <c r="N2499" i="1"/>
  <c r="M2499" i="1"/>
  <c r="J2499" i="1"/>
  <c r="I2499" i="1"/>
  <c r="H2499" i="1"/>
  <c r="F2499" i="1"/>
  <c r="D2499" i="1"/>
  <c r="B2499" i="1"/>
  <c r="A2499" i="1"/>
  <c r="U2245" i="1"/>
  <c r="R2245" i="1"/>
  <c r="Q2245" i="1"/>
  <c r="P2245" i="1"/>
  <c r="O2245" i="1"/>
  <c r="N2245" i="1"/>
  <c r="M2245" i="1"/>
  <c r="J2245" i="1"/>
  <c r="I2245" i="1"/>
  <c r="H2245" i="1"/>
  <c r="F2245" i="1"/>
  <c r="D2245" i="1"/>
  <c r="B2245" i="1"/>
  <c r="A2245" i="1"/>
  <c r="U2096" i="1"/>
  <c r="R2096" i="1"/>
  <c r="Q2096" i="1"/>
  <c r="P2096" i="1"/>
  <c r="O2096" i="1"/>
  <c r="N2096" i="1"/>
  <c r="M2096" i="1"/>
  <c r="J2096" i="1"/>
  <c r="I2096" i="1"/>
  <c r="H2096" i="1"/>
  <c r="F2096" i="1"/>
  <c r="D2096" i="1"/>
  <c r="A2096" i="1"/>
  <c r="U2351" i="1"/>
  <c r="R2351" i="1"/>
  <c r="Q2351" i="1"/>
  <c r="P2351" i="1"/>
  <c r="O2351" i="1"/>
  <c r="N2351" i="1"/>
  <c r="M2351" i="1"/>
  <c r="K2351" i="1"/>
  <c r="J2351" i="1"/>
  <c r="I2351" i="1"/>
  <c r="H2351" i="1"/>
  <c r="F2351" i="1"/>
  <c r="D2351" i="1"/>
  <c r="A2351" i="1"/>
  <c r="U2209" i="1"/>
  <c r="R2209" i="1"/>
  <c r="Q2209" i="1"/>
  <c r="P2209" i="1"/>
  <c r="O2209" i="1"/>
  <c r="N2209" i="1"/>
  <c r="M2209" i="1"/>
  <c r="K2209" i="1"/>
  <c r="J2209" i="1"/>
  <c r="I2209" i="1"/>
  <c r="H2209" i="1"/>
  <c r="F2209" i="1"/>
  <c r="D2209" i="1"/>
  <c r="B2209" i="1"/>
  <c r="A2209" i="1"/>
  <c r="U3052" i="1"/>
  <c r="R3052" i="1"/>
  <c r="Q3052" i="1"/>
  <c r="P3052" i="1"/>
  <c r="O3052" i="1"/>
  <c r="N3052" i="1"/>
  <c r="M3052" i="1"/>
  <c r="K3052" i="1"/>
  <c r="J3052" i="1"/>
  <c r="I3052" i="1"/>
  <c r="H3052" i="1"/>
  <c r="F3052" i="1"/>
  <c r="D3052" i="1"/>
  <c r="B3052" i="1"/>
  <c r="A3052" i="1"/>
  <c r="U2337" i="1"/>
  <c r="R2337" i="1"/>
  <c r="Q2337" i="1"/>
  <c r="P2337" i="1"/>
  <c r="O2337" i="1"/>
  <c r="N2337" i="1"/>
  <c r="M2337" i="1"/>
  <c r="K2337" i="1"/>
  <c r="J2337" i="1"/>
  <c r="I2337" i="1"/>
  <c r="H2337" i="1"/>
  <c r="F2337" i="1"/>
  <c r="D2337" i="1"/>
  <c r="A2337" i="1"/>
  <c r="U3070" i="1"/>
  <c r="R3070" i="1"/>
  <c r="Q3070" i="1"/>
  <c r="P3070" i="1"/>
  <c r="O3070" i="1"/>
  <c r="N3070" i="1"/>
  <c r="M3070" i="1"/>
  <c r="K3070" i="1"/>
  <c r="J3070" i="1"/>
  <c r="I3070" i="1"/>
  <c r="H3070" i="1"/>
  <c r="F3070" i="1"/>
  <c r="D3070" i="1"/>
  <c r="A3070" i="1"/>
  <c r="U2137" i="1"/>
  <c r="R2137" i="1"/>
  <c r="Q2137" i="1"/>
  <c r="P2137" i="1"/>
  <c r="O2137" i="1"/>
  <c r="N2137" i="1"/>
  <c r="M2137" i="1"/>
  <c r="K2137" i="1"/>
  <c r="J2137" i="1"/>
  <c r="I2137" i="1"/>
  <c r="H2137" i="1"/>
  <c r="F2137" i="1"/>
  <c r="D2137" i="1"/>
  <c r="A2137" i="1"/>
  <c r="U2501" i="1"/>
  <c r="R2501" i="1"/>
  <c r="Q2501" i="1"/>
  <c r="P2501" i="1"/>
  <c r="O2501" i="1"/>
  <c r="N2501" i="1"/>
  <c r="M2501" i="1"/>
  <c r="J2501" i="1"/>
  <c r="I2501" i="1"/>
  <c r="H2501" i="1"/>
  <c r="F2501" i="1"/>
  <c r="D2501" i="1"/>
  <c r="B2501" i="1"/>
  <c r="A2501" i="1"/>
  <c r="U2500" i="1"/>
  <c r="R2500" i="1"/>
  <c r="Q2500" i="1"/>
  <c r="P2500" i="1"/>
  <c r="O2500" i="1"/>
  <c r="N2500" i="1"/>
  <c r="M2500" i="1"/>
  <c r="J2500" i="1"/>
  <c r="I2500" i="1"/>
  <c r="H2500" i="1"/>
  <c r="F2500" i="1"/>
  <c r="D2500" i="1"/>
  <c r="B2500" i="1"/>
  <c r="A2500" i="1"/>
  <c r="U3033" i="1"/>
  <c r="R3033" i="1"/>
  <c r="Q3033" i="1"/>
  <c r="P3033" i="1"/>
  <c r="O3033" i="1"/>
  <c r="N3033" i="1"/>
  <c r="M3033" i="1"/>
  <c r="J3033" i="1"/>
  <c r="I3033" i="1"/>
  <c r="H3033" i="1"/>
  <c r="F3033" i="1"/>
  <c r="D3033" i="1"/>
  <c r="B3033" i="1"/>
  <c r="A3033" i="1"/>
  <c r="U2483" i="1"/>
  <c r="R2483" i="1"/>
  <c r="Q2483" i="1"/>
  <c r="P2483" i="1"/>
  <c r="O2483" i="1"/>
  <c r="N2483" i="1"/>
  <c r="M2483" i="1"/>
  <c r="J2483" i="1"/>
  <c r="I2483" i="1"/>
  <c r="H2483" i="1"/>
  <c r="F2483" i="1"/>
  <c r="D2483" i="1"/>
  <c r="B2483" i="1"/>
  <c r="A2483" i="1"/>
  <c r="U2823" i="1"/>
  <c r="R2823" i="1"/>
  <c r="Q2823" i="1"/>
  <c r="P2823" i="1"/>
  <c r="O2823" i="1"/>
  <c r="N2823" i="1"/>
  <c r="M2823" i="1"/>
  <c r="J2823" i="1"/>
  <c r="I2823" i="1"/>
  <c r="H2823" i="1"/>
  <c r="F2823" i="1"/>
  <c r="D2823" i="1"/>
  <c r="B2823" i="1"/>
  <c r="A2823" i="1"/>
  <c r="U2942" i="1"/>
  <c r="R2942" i="1"/>
  <c r="Q2942" i="1"/>
  <c r="P2942" i="1"/>
  <c r="O2942" i="1"/>
  <c r="N2942" i="1"/>
  <c r="M2942" i="1"/>
  <c r="J2942" i="1"/>
  <c r="I2942" i="1"/>
  <c r="H2942" i="1"/>
  <c r="F2942" i="1"/>
  <c r="D2942" i="1"/>
  <c r="B2942" i="1"/>
  <c r="A2942" i="1"/>
  <c r="U2799" i="1"/>
  <c r="R2799" i="1"/>
  <c r="Q2799" i="1"/>
  <c r="P2799" i="1"/>
  <c r="O2799" i="1"/>
  <c r="N2799" i="1"/>
  <c r="M2799" i="1"/>
  <c r="J2799" i="1"/>
  <c r="I2799" i="1"/>
  <c r="H2799" i="1"/>
  <c r="F2799" i="1"/>
  <c r="D2799" i="1"/>
  <c r="B2799" i="1"/>
  <c r="A2799" i="1"/>
  <c r="U17" i="1"/>
  <c r="R17" i="1"/>
  <c r="Q17" i="1"/>
  <c r="P17" i="1"/>
  <c r="O17" i="1"/>
  <c r="N17" i="1"/>
  <c r="M17" i="1"/>
  <c r="J17" i="1"/>
  <c r="I17" i="1"/>
  <c r="H17" i="1"/>
  <c r="F17" i="1"/>
  <c r="D17" i="1"/>
  <c r="B17" i="1"/>
  <c r="A17" i="1"/>
  <c r="U349" i="1"/>
  <c r="R349" i="1"/>
  <c r="Q349" i="1"/>
  <c r="P349" i="1"/>
  <c r="O349" i="1"/>
  <c r="N349" i="1"/>
  <c r="M349" i="1"/>
  <c r="J349" i="1"/>
  <c r="I349" i="1"/>
  <c r="H349" i="1"/>
  <c r="F349" i="1"/>
  <c r="D349" i="1"/>
  <c r="B349" i="1"/>
  <c r="A349" i="1"/>
  <c r="U343" i="1"/>
  <c r="R343" i="1"/>
  <c r="Q343" i="1"/>
  <c r="P343" i="1"/>
  <c r="O343" i="1"/>
  <c r="N343" i="1"/>
  <c r="M343" i="1"/>
  <c r="J343" i="1"/>
  <c r="I343" i="1"/>
  <c r="H343" i="1"/>
  <c r="F343" i="1"/>
  <c r="D343" i="1"/>
  <c r="B343" i="1"/>
  <c r="A343" i="1"/>
  <c r="U692" i="1"/>
  <c r="R692" i="1"/>
  <c r="Q692" i="1"/>
  <c r="P692" i="1"/>
  <c r="O692" i="1"/>
  <c r="N692" i="1"/>
  <c r="M692" i="1"/>
  <c r="J692" i="1"/>
  <c r="I692" i="1"/>
  <c r="H692" i="1"/>
  <c r="F692" i="1"/>
  <c r="D692" i="1"/>
  <c r="B692" i="1"/>
  <c r="A692" i="1"/>
  <c r="U784" i="1"/>
  <c r="R784" i="1"/>
  <c r="Q784" i="1"/>
  <c r="P784" i="1"/>
  <c r="O784" i="1"/>
  <c r="N784" i="1"/>
  <c r="M784" i="1"/>
  <c r="J784" i="1"/>
  <c r="I784" i="1"/>
  <c r="H784" i="1"/>
  <c r="F784" i="1"/>
  <c r="D784" i="1"/>
  <c r="B784" i="1"/>
  <c r="A784" i="1"/>
  <c r="U921" i="1"/>
  <c r="R921" i="1"/>
  <c r="Q921" i="1"/>
  <c r="P921" i="1"/>
  <c r="O921" i="1"/>
  <c r="N921" i="1"/>
  <c r="M921" i="1"/>
  <c r="I921" i="1"/>
  <c r="H921" i="1"/>
  <c r="F921" i="1"/>
  <c r="D921" i="1"/>
  <c r="B921" i="1"/>
  <c r="A921" i="1"/>
  <c r="U941" i="1"/>
  <c r="R941" i="1"/>
  <c r="Q941" i="1"/>
  <c r="P941" i="1"/>
  <c r="O941" i="1"/>
  <c r="N941" i="1"/>
  <c r="M941" i="1"/>
  <c r="J941" i="1"/>
  <c r="I941" i="1"/>
  <c r="H941" i="1"/>
  <c r="F941" i="1"/>
  <c r="D941" i="1"/>
  <c r="B941" i="1"/>
  <c r="A941" i="1"/>
  <c r="U943" i="1"/>
  <c r="R943" i="1"/>
  <c r="Q943" i="1"/>
  <c r="P943" i="1"/>
  <c r="O943" i="1"/>
  <c r="N943" i="1"/>
  <c r="M943" i="1"/>
  <c r="I943" i="1"/>
  <c r="H943" i="1"/>
  <c r="F943" i="1"/>
  <c r="D943" i="1"/>
  <c r="B943" i="1"/>
  <c r="A943" i="1"/>
  <c r="U1566" i="1"/>
  <c r="R1566" i="1"/>
  <c r="Q1566" i="1"/>
  <c r="P1566" i="1"/>
  <c r="O1566" i="1"/>
  <c r="N1566" i="1"/>
  <c r="M1566" i="1"/>
  <c r="J1566" i="1"/>
  <c r="I1566" i="1"/>
  <c r="H1566" i="1"/>
  <c r="G1566" i="1"/>
  <c r="F1566" i="1"/>
  <c r="D1566" i="1"/>
  <c r="B1566" i="1"/>
  <c r="A1566" i="1"/>
  <c r="U1570" i="1"/>
  <c r="R1570" i="1"/>
  <c r="Q1570" i="1"/>
  <c r="P1570" i="1"/>
  <c r="O1570" i="1"/>
  <c r="N1570" i="1"/>
  <c r="M1570" i="1"/>
  <c r="J1570" i="1"/>
  <c r="I1570" i="1"/>
  <c r="H1570" i="1"/>
  <c r="F1570" i="1"/>
  <c r="D1570" i="1"/>
  <c r="B1570" i="1"/>
  <c r="A1570" i="1"/>
  <c r="U1598" i="1"/>
  <c r="R1598" i="1"/>
  <c r="Q1598" i="1"/>
  <c r="P1598" i="1"/>
  <c r="O1598" i="1"/>
  <c r="N1598" i="1"/>
  <c r="M1598" i="1"/>
  <c r="J1598" i="1"/>
  <c r="I1598" i="1"/>
  <c r="H1598" i="1"/>
  <c r="F1598" i="1"/>
  <c r="D1598" i="1"/>
  <c r="B1598" i="1"/>
  <c r="A1598" i="1"/>
  <c r="U1619" i="1"/>
  <c r="R1619" i="1"/>
  <c r="Q1619" i="1"/>
  <c r="P1619" i="1"/>
  <c r="O1619" i="1"/>
  <c r="N1619" i="1"/>
  <c r="M1619" i="1"/>
  <c r="J1619" i="1"/>
  <c r="I1619" i="1"/>
  <c r="H1619" i="1"/>
  <c r="F1619" i="1"/>
  <c r="D1619" i="1"/>
  <c r="B1619" i="1"/>
  <c r="A1619" i="1"/>
  <c r="U1618" i="1"/>
  <c r="R1618" i="1"/>
  <c r="Q1618" i="1"/>
  <c r="P1618" i="1"/>
  <c r="O1618" i="1"/>
  <c r="N1618" i="1"/>
  <c r="M1618" i="1"/>
  <c r="J1618" i="1"/>
  <c r="I1618" i="1"/>
  <c r="H1618" i="1"/>
  <c r="F1618" i="1"/>
  <c r="D1618" i="1"/>
  <c r="B1618" i="1"/>
  <c r="A1618" i="1"/>
  <c r="U1727" i="1"/>
  <c r="R1727" i="1"/>
  <c r="Q1727" i="1"/>
  <c r="P1727" i="1"/>
  <c r="O1727" i="1"/>
  <c r="N1727" i="1"/>
  <c r="M1727" i="1"/>
  <c r="J1727" i="1"/>
  <c r="I1727" i="1"/>
  <c r="H1727" i="1"/>
  <c r="F1727" i="1"/>
  <c r="D1727" i="1"/>
  <c r="B1727" i="1"/>
  <c r="A1727" i="1"/>
  <c r="U1726" i="1"/>
  <c r="R1726" i="1"/>
  <c r="Q1726" i="1"/>
  <c r="P1726" i="1"/>
  <c r="O1726" i="1"/>
  <c r="N1726" i="1"/>
  <c r="M1726" i="1"/>
  <c r="J1726" i="1"/>
  <c r="I1726" i="1"/>
  <c r="H1726" i="1"/>
  <c r="F1726" i="1"/>
  <c r="D1726" i="1"/>
  <c r="B1726" i="1"/>
  <c r="A1726" i="1"/>
  <c r="U1725" i="1"/>
  <c r="R1725" i="1"/>
  <c r="Q1725" i="1"/>
  <c r="P1725" i="1"/>
  <c r="O1725" i="1"/>
  <c r="N1725" i="1"/>
  <c r="M1725" i="1"/>
  <c r="J1725" i="1"/>
  <c r="I1725" i="1"/>
  <c r="H1725" i="1"/>
  <c r="F1725" i="1"/>
  <c r="D1725" i="1"/>
  <c r="B1725" i="1"/>
  <c r="A1725" i="1"/>
  <c r="U1724" i="1"/>
  <c r="R1724" i="1"/>
  <c r="Q1724" i="1"/>
  <c r="P1724" i="1"/>
  <c r="O1724" i="1"/>
  <c r="N1724" i="1"/>
  <c r="M1724" i="1"/>
  <c r="J1724" i="1"/>
  <c r="I1724" i="1"/>
  <c r="H1724" i="1"/>
  <c r="F1724" i="1"/>
  <c r="E1724" i="1"/>
  <c r="D1724" i="1"/>
  <c r="B1724" i="1"/>
  <c r="A1724" i="1"/>
  <c r="U1723" i="1"/>
  <c r="R1723" i="1"/>
  <c r="Q1723" i="1"/>
  <c r="P1723" i="1"/>
  <c r="O1723" i="1"/>
  <c r="N1723" i="1"/>
  <c r="M1723" i="1"/>
  <c r="J1723" i="1"/>
  <c r="I1723" i="1"/>
  <c r="H1723" i="1"/>
  <c r="F1723" i="1"/>
  <c r="D1723" i="1"/>
  <c r="B1723" i="1"/>
  <c r="A1723" i="1"/>
  <c r="U1722" i="1"/>
  <c r="R1722" i="1"/>
  <c r="Q1722" i="1"/>
  <c r="P1722" i="1"/>
  <c r="O1722" i="1"/>
  <c r="N1722" i="1"/>
  <c r="M1722" i="1"/>
  <c r="J1722" i="1"/>
  <c r="I1722" i="1"/>
  <c r="H1722" i="1"/>
  <c r="F1722" i="1"/>
  <c r="D1722" i="1"/>
  <c r="B1722" i="1"/>
  <c r="A1722" i="1"/>
  <c r="U1721" i="1"/>
  <c r="R1721" i="1"/>
  <c r="Q1721" i="1"/>
  <c r="P1721" i="1"/>
  <c r="O1721" i="1"/>
  <c r="N1721" i="1"/>
  <c r="M1721" i="1"/>
  <c r="J1721" i="1"/>
  <c r="I1721" i="1"/>
  <c r="H1721" i="1"/>
  <c r="F1721" i="1"/>
  <c r="D1721" i="1"/>
  <c r="B1721" i="1"/>
  <c r="A1721" i="1"/>
  <c r="U1742" i="1"/>
  <c r="R1742" i="1"/>
  <c r="Q1742" i="1"/>
  <c r="P1742" i="1"/>
  <c r="O1742" i="1"/>
  <c r="N1742" i="1"/>
  <c r="M1742" i="1"/>
  <c r="J1742" i="1"/>
  <c r="I1742" i="1"/>
  <c r="H1742" i="1"/>
  <c r="F1742" i="1"/>
  <c r="D1742" i="1"/>
  <c r="B1742" i="1"/>
  <c r="A1742" i="1"/>
  <c r="U1983" i="1"/>
  <c r="R1983" i="1"/>
  <c r="Q1983" i="1"/>
  <c r="P1983" i="1"/>
  <c r="O1983" i="1"/>
  <c r="N1983" i="1"/>
  <c r="M1983" i="1"/>
  <c r="J1983" i="1"/>
  <c r="I1983" i="1"/>
  <c r="H1983" i="1"/>
  <c r="F1983" i="1"/>
  <c r="D1983" i="1"/>
  <c r="A1983" i="1"/>
  <c r="U1987" i="1"/>
  <c r="R1987" i="1"/>
  <c r="Q1987" i="1"/>
  <c r="P1987" i="1"/>
  <c r="O1987" i="1"/>
  <c r="N1987" i="1"/>
  <c r="M1987" i="1"/>
  <c r="K1987" i="1"/>
  <c r="J1987" i="1"/>
  <c r="I1987" i="1"/>
  <c r="H1987" i="1"/>
  <c r="F1987" i="1"/>
  <c r="D1987" i="1"/>
  <c r="A1987" i="1"/>
  <c r="U2170" i="1"/>
  <c r="R2170" i="1"/>
  <c r="Q2170" i="1"/>
  <c r="P2170" i="1"/>
  <c r="O2170" i="1"/>
  <c r="N2170" i="1"/>
  <c r="M2170" i="1"/>
  <c r="J2170" i="1"/>
  <c r="I2170" i="1"/>
  <c r="H2170" i="1"/>
  <c r="F2170" i="1"/>
  <c r="D2170" i="1"/>
  <c r="A2170" i="1"/>
  <c r="U2531" i="1"/>
  <c r="R2531" i="1"/>
  <c r="Q2531" i="1"/>
  <c r="P2531" i="1"/>
  <c r="O2531" i="1"/>
  <c r="N2531" i="1"/>
  <c r="M2531" i="1"/>
  <c r="J2531" i="1"/>
  <c r="I2531" i="1"/>
  <c r="H2531" i="1"/>
  <c r="F2531" i="1"/>
  <c r="D2531" i="1"/>
  <c r="B2531" i="1"/>
  <c r="A2531" i="1"/>
  <c r="U2928" i="1"/>
  <c r="R2928" i="1"/>
  <c r="Q2928" i="1"/>
  <c r="P2928" i="1"/>
  <c r="O2928" i="1"/>
  <c r="N2928" i="1"/>
  <c r="M2928" i="1"/>
  <c r="J2928" i="1"/>
  <c r="I2928" i="1"/>
  <c r="H2928" i="1"/>
  <c r="F2928" i="1"/>
  <c r="D2928" i="1"/>
  <c r="B2928" i="1"/>
  <c r="A2928" i="1"/>
  <c r="U2805" i="1"/>
  <c r="R2805" i="1"/>
  <c r="Q2805" i="1"/>
  <c r="P2805" i="1"/>
  <c r="O2805" i="1"/>
  <c r="N2805" i="1"/>
  <c r="M2805" i="1"/>
  <c r="K2805" i="1"/>
  <c r="J2805" i="1"/>
  <c r="I2805" i="1"/>
  <c r="H2805" i="1"/>
  <c r="F2805" i="1"/>
  <c r="D2805" i="1"/>
  <c r="B2805" i="1"/>
  <c r="A2805" i="1"/>
  <c r="U2931" i="1"/>
  <c r="R2931" i="1"/>
  <c r="Q2931" i="1"/>
  <c r="P2931" i="1"/>
  <c r="O2931" i="1"/>
  <c r="N2931" i="1"/>
  <c r="M2931" i="1"/>
  <c r="K2931" i="1"/>
  <c r="J2931" i="1"/>
  <c r="I2931" i="1"/>
  <c r="H2931" i="1"/>
  <c r="F2931" i="1"/>
  <c r="D2931" i="1"/>
  <c r="A2931" i="1"/>
  <c r="U3230" i="1"/>
  <c r="R3230" i="1"/>
  <c r="Q3230" i="1"/>
  <c r="P3230" i="1"/>
  <c r="O3230" i="1"/>
  <c r="N3230" i="1"/>
  <c r="M3230" i="1"/>
  <c r="J3230" i="1"/>
  <c r="I3230" i="1"/>
  <c r="H3230" i="1"/>
  <c r="F3230" i="1"/>
  <c r="D3230" i="1"/>
  <c r="A3230" i="1"/>
  <c r="U3229" i="1"/>
  <c r="R3229" i="1"/>
  <c r="Q3229" i="1"/>
  <c r="P3229" i="1"/>
  <c r="O3229" i="1"/>
  <c r="N3229" i="1"/>
  <c r="M3229" i="1"/>
  <c r="K3229" i="1"/>
  <c r="J3229" i="1"/>
  <c r="I3229" i="1"/>
  <c r="H3229" i="1"/>
  <c r="G3229" i="1"/>
  <c r="F3229" i="1"/>
  <c r="D3229" i="1"/>
  <c r="B3229" i="1"/>
  <c r="A3229" i="1"/>
  <c r="U3003" i="1"/>
  <c r="R3003" i="1"/>
  <c r="Q3003" i="1"/>
  <c r="P3003" i="1"/>
  <c r="O3003" i="1"/>
  <c r="N3003" i="1"/>
  <c r="M3003" i="1"/>
  <c r="K3003" i="1"/>
  <c r="J3003" i="1"/>
  <c r="I3003" i="1"/>
  <c r="H3003" i="1"/>
  <c r="F3003" i="1"/>
  <c r="D3003" i="1"/>
  <c r="B3003" i="1"/>
  <c r="A3003" i="1"/>
  <c r="U656" i="1"/>
  <c r="R656" i="1"/>
  <c r="Q656" i="1"/>
  <c r="P656" i="1"/>
  <c r="O656" i="1"/>
  <c r="N656" i="1"/>
  <c r="M656" i="1"/>
  <c r="I656" i="1"/>
  <c r="H656" i="1"/>
  <c r="G656" i="1"/>
  <c r="F656" i="1"/>
  <c r="D656" i="1"/>
  <c r="B656" i="1"/>
  <c r="A656" i="1"/>
  <c r="U967" i="1"/>
  <c r="R967" i="1"/>
  <c r="Q967" i="1"/>
  <c r="P967" i="1"/>
  <c r="O967" i="1"/>
  <c r="N967" i="1"/>
  <c r="M967" i="1"/>
  <c r="I967" i="1"/>
  <c r="H967" i="1"/>
  <c r="F967" i="1"/>
  <c r="D967" i="1"/>
  <c r="B967" i="1"/>
  <c r="A967" i="1"/>
  <c r="U936" i="1"/>
  <c r="R936" i="1"/>
  <c r="Q936" i="1"/>
  <c r="P936" i="1"/>
  <c r="O936" i="1"/>
  <c r="N936" i="1"/>
  <c r="M936" i="1"/>
  <c r="I936" i="1"/>
  <c r="H936" i="1"/>
  <c r="F936" i="1"/>
  <c r="D936" i="1"/>
  <c r="B936" i="1"/>
  <c r="A936" i="1"/>
  <c r="U1061" i="1"/>
  <c r="R1061" i="1"/>
  <c r="Q1061" i="1"/>
  <c r="P1061" i="1"/>
  <c r="O1061" i="1"/>
  <c r="N1061" i="1"/>
  <c r="M1061" i="1"/>
  <c r="J1061" i="1"/>
  <c r="I1061" i="1"/>
  <c r="H1061" i="1"/>
  <c r="F1061" i="1"/>
  <c r="D1061" i="1"/>
  <c r="B1061" i="1"/>
  <c r="A1061" i="1"/>
  <c r="U1239" i="1"/>
  <c r="R1239" i="1"/>
  <c r="Q1239" i="1"/>
  <c r="P1239" i="1"/>
  <c r="O1239" i="1"/>
  <c r="N1239" i="1"/>
  <c r="M1239" i="1"/>
  <c r="I1239" i="1"/>
  <c r="H1239" i="1"/>
  <c r="F1239" i="1"/>
  <c r="D1239" i="1"/>
  <c r="B1239" i="1"/>
  <c r="A1239" i="1"/>
  <c r="U1906" i="1"/>
  <c r="R1906" i="1"/>
  <c r="Q1906" i="1"/>
  <c r="P1906" i="1"/>
  <c r="O1906" i="1"/>
  <c r="N1906" i="1"/>
  <c r="M1906" i="1"/>
  <c r="K1906" i="1"/>
  <c r="J1906" i="1"/>
  <c r="I1906" i="1"/>
  <c r="H1906" i="1"/>
  <c r="F1906" i="1"/>
  <c r="D1906" i="1"/>
  <c r="B1906" i="1"/>
  <c r="A1906" i="1"/>
  <c r="U2638" i="1"/>
  <c r="R2638" i="1"/>
  <c r="Q2638" i="1"/>
  <c r="P2638" i="1"/>
  <c r="O2638" i="1"/>
  <c r="N2638" i="1"/>
  <c r="M2638" i="1"/>
  <c r="K2638" i="1"/>
  <c r="J2638" i="1"/>
  <c r="I2638" i="1"/>
  <c r="H2638" i="1"/>
  <c r="F2638" i="1"/>
  <c r="D2638" i="1"/>
  <c r="B2638" i="1"/>
  <c r="A2638" i="1"/>
  <c r="U3182" i="1"/>
  <c r="R3182" i="1"/>
  <c r="Q3182" i="1"/>
  <c r="P3182" i="1"/>
  <c r="O3182" i="1"/>
  <c r="N3182" i="1"/>
  <c r="M3182" i="1"/>
  <c r="K3182" i="1"/>
  <c r="J3182" i="1"/>
  <c r="I3182" i="1"/>
  <c r="H3182" i="1"/>
  <c r="F3182" i="1"/>
  <c r="D3182" i="1"/>
  <c r="B3182" i="1"/>
  <c r="A3182" i="1"/>
  <c r="U1837" i="1"/>
  <c r="R1837" i="1"/>
  <c r="Q1837" i="1"/>
  <c r="P1837" i="1"/>
  <c r="O1837" i="1"/>
  <c r="N1837" i="1"/>
  <c r="M1837" i="1"/>
  <c r="K1837" i="1"/>
  <c r="J1837" i="1"/>
  <c r="I1837" i="1"/>
  <c r="H1837" i="1"/>
  <c r="F1837" i="1"/>
  <c r="D1837" i="1"/>
  <c r="B1837" i="1"/>
  <c r="A1837" i="1"/>
  <c r="U13" i="1"/>
  <c r="R13" i="1"/>
  <c r="Q13" i="1"/>
  <c r="P13" i="1"/>
  <c r="O13" i="1"/>
  <c r="N13" i="1"/>
  <c r="M13" i="1"/>
  <c r="I13" i="1"/>
  <c r="H13" i="1"/>
  <c r="F13" i="1"/>
  <c r="D13" i="1"/>
  <c r="B13" i="1"/>
  <c r="A13" i="1"/>
  <c r="U12" i="1"/>
  <c r="R12" i="1"/>
  <c r="Q12" i="1"/>
  <c r="P12" i="1"/>
  <c r="O12" i="1"/>
  <c r="N12" i="1"/>
  <c r="M12" i="1"/>
  <c r="I12" i="1"/>
  <c r="H12" i="1"/>
  <c r="F12" i="1"/>
  <c r="D12" i="1"/>
  <c r="B12" i="1"/>
  <c r="A12" i="1"/>
  <c r="U55" i="1"/>
  <c r="R55" i="1"/>
  <c r="Q55" i="1"/>
  <c r="P55" i="1"/>
  <c r="O55" i="1"/>
  <c r="N55" i="1"/>
  <c r="M55" i="1"/>
  <c r="I55" i="1"/>
  <c r="H55" i="1"/>
  <c r="F55" i="1"/>
  <c r="E55" i="1"/>
  <c r="D55" i="1"/>
  <c r="B55" i="1"/>
  <c r="A55" i="1"/>
  <c r="U72" i="1"/>
  <c r="R72" i="1"/>
  <c r="Q72" i="1"/>
  <c r="P72" i="1"/>
  <c r="O72" i="1"/>
  <c r="N72" i="1"/>
  <c r="M72" i="1"/>
  <c r="J72" i="1"/>
  <c r="I72" i="1"/>
  <c r="H72" i="1"/>
  <c r="F72" i="1"/>
  <c r="D72" i="1"/>
  <c r="B72" i="1"/>
  <c r="A72" i="1"/>
  <c r="U85" i="1"/>
  <c r="R85" i="1"/>
  <c r="Q85" i="1"/>
  <c r="P85" i="1"/>
  <c r="O85" i="1"/>
  <c r="N85" i="1"/>
  <c r="M85" i="1"/>
  <c r="I85" i="1"/>
  <c r="H85" i="1"/>
  <c r="F85" i="1"/>
  <c r="D85" i="1"/>
  <c r="B85" i="1"/>
  <c r="A85" i="1"/>
  <c r="U233" i="1"/>
  <c r="R233" i="1"/>
  <c r="Q233" i="1"/>
  <c r="P233" i="1"/>
  <c r="O233" i="1"/>
  <c r="N233" i="1"/>
  <c r="M233" i="1"/>
  <c r="I233" i="1"/>
  <c r="H233" i="1"/>
  <c r="F233" i="1"/>
  <c r="D233" i="1"/>
  <c r="B233" i="1"/>
  <c r="A233" i="1"/>
  <c r="U170" i="1"/>
  <c r="R170" i="1"/>
  <c r="Q170" i="1"/>
  <c r="P170" i="1"/>
  <c r="O170" i="1"/>
  <c r="N170" i="1"/>
  <c r="M170" i="1"/>
  <c r="I170" i="1"/>
  <c r="H170" i="1"/>
  <c r="F170" i="1"/>
  <c r="D170" i="1"/>
  <c r="B170" i="1"/>
  <c r="A170" i="1"/>
  <c r="U254" i="1"/>
  <c r="R254" i="1"/>
  <c r="Q254" i="1"/>
  <c r="P254" i="1"/>
  <c r="O254" i="1"/>
  <c r="N254" i="1"/>
  <c r="M254" i="1"/>
  <c r="J254" i="1"/>
  <c r="I254" i="1"/>
  <c r="H254" i="1"/>
  <c r="F254" i="1"/>
  <c r="D254" i="1"/>
  <c r="B254" i="1"/>
  <c r="A254" i="1"/>
  <c r="U296" i="1"/>
  <c r="R296" i="1"/>
  <c r="Q296" i="1"/>
  <c r="P296" i="1"/>
  <c r="O296" i="1"/>
  <c r="N296" i="1"/>
  <c r="M296" i="1"/>
  <c r="I296" i="1"/>
  <c r="H296" i="1"/>
  <c r="F296" i="1"/>
  <c r="D296" i="1"/>
  <c r="B296" i="1"/>
  <c r="A296" i="1"/>
  <c r="U375" i="1"/>
  <c r="R375" i="1"/>
  <c r="Q375" i="1"/>
  <c r="P375" i="1"/>
  <c r="O375" i="1"/>
  <c r="N375" i="1"/>
  <c r="M375" i="1"/>
  <c r="I375" i="1"/>
  <c r="H375" i="1"/>
  <c r="F375" i="1"/>
  <c r="D375" i="1"/>
  <c r="B375" i="1"/>
  <c r="A375" i="1"/>
  <c r="U370" i="1"/>
  <c r="R370" i="1"/>
  <c r="Q370" i="1"/>
  <c r="P370" i="1"/>
  <c r="O370" i="1"/>
  <c r="N370" i="1"/>
  <c r="M370" i="1"/>
  <c r="J370" i="1"/>
  <c r="I370" i="1"/>
  <c r="H370" i="1"/>
  <c r="F370" i="1"/>
  <c r="D370" i="1"/>
  <c r="B370" i="1"/>
  <c r="A370" i="1"/>
  <c r="U404" i="1"/>
  <c r="R404" i="1"/>
  <c r="Q404" i="1"/>
  <c r="P404" i="1"/>
  <c r="O404" i="1"/>
  <c r="N404" i="1"/>
  <c r="M404" i="1"/>
  <c r="J404" i="1"/>
  <c r="I404" i="1"/>
  <c r="H404" i="1"/>
  <c r="F404" i="1"/>
  <c r="D404" i="1"/>
  <c r="B404" i="1"/>
  <c r="A404" i="1"/>
  <c r="U750" i="1"/>
  <c r="R750" i="1"/>
  <c r="Q750" i="1"/>
  <c r="P750" i="1"/>
  <c r="O750" i="1"/>
  <c r="N750" i="1"/>
  <c r="M750" i="1"/>
  <c r="I750" i="1"/>
  <c r="H750" i="1"/>
  <c r="F750" i="1"/>
  <c r="E750" i="1"/>
  <c r="D750" i="1"/>
  <c r="B750" i="1"/>
  <c r="A750" i="1"/>
  <c r="U494" i="1"/>
  <c r="R494" i="1"/>
  <c r="Q494" i="1"/>
  <c r="P494" i="1"/>
  <c r="O494" i="1"/>
  <c r="N494" i="1"/>
  <c r="M494" i="1"/>
  <c r="I494" i="1"/>
  <c r="H494" i="1"/>
  <c r="F494" i="1"/>
  <c r="D494" i="1"/>
  <c r="B494" i="1"/>
  <c r="A494" i="1"/>
  <c r="U668" i="1"/>
  <c r="R668" i="1"/>
  <c r="Q668" i="1"/>
  <c r="P668" i="1"/>
  <c r="O668" i="1"/>
  <c r="N668" i="1"/>
  <c r="M668" i="1"/>
  <c r="J668" i="1"/>
  <c r="I668" i="1"/>
  <c r="H668" i="1"/>
  <c r="F668" i="1"/>
  <c r="D668" i="1"/>
  <c r="B668" i="1"/>
  <c r="A668" i="1"/>
  <c r="U930" i="1"/>
  <c r="R930" i="1"/>
  <c r="Q930" i="1"/>
  <c r="P930" i="1"/>
  <c r="O930" i="1"/>
  <c r="N930" i="1"/>
  <c r="M930" i="1"/>
  <c r="I930" i="1"/>
  <c r="H930" i="1"/>
  <c r="F930" i="1"/>
  <c r="D930" i="1"/>
  <c r="B930" i="1"/>
  <c r="A930" i="1"/>
  <c r="U1040" i="1"/>
  <c r="R1040" i="1"/>
  <c r="Q1040" i="1"/>
  <c r="P1040" i="1"/>
  <c r="O1040" i="1"/>
  <c r="N1040" i="1"/>
  <c r="M1040" i="1"/>
  <c r="I1040" i="1"/>
  <c r="H1040" i="1"/>
  <c r="F1040" i="1"/>
  <c r="D1040" i="1"/>
  <c r="B1040" i="1"/>
  <c r="A1040" i="1"/>
  <c r="U1258" i="1"/>
  <c r="R1258" i="1"/>
  <c r="Q1258" i="1"/>
  <c r="P1258" i="1"/>
  <c r="O1258" i="1"/>
  <c r="N1258" i="1"/>
  <c r="M1258" i="1"/>
  <c r="I1258" i="1"/>
  <c r="H1258" i="1"/>
  <c r="F1258" i="1"/>
  <c r="D1258" i="1"/>
  <c r="B1258" i="1"/>
  <c r="A1258" i="1"/>
  <c r="U1025" i="1"/>
  <c r="R1025" i="1"/>
  <c r="Q1025" i="1"/>
  <c r="P1025" i="1"/>
  <c r="O1025" i="1"/>
  <c r="N1025" i="1"/>
  <c r="M1025" i="1"/>
  <c r="J1025" i="1"/>
  <c r="I1025" i="1"/>
  <c r="H1025" i="1"/>
  <c r="F1025" i="1"/>
  <c r="D1025" i="1"/>
  <c r="B1025" i="1"/>
  <c r="A1025" i="1"/>
  <c r="U1297" i="1"/>
  <c r="R1297" i="1"/>
  <c r="Q1297" i="1"/>
  <c r="P1297" i="1"/>
  <c r="O1297" i="1"/>
  <c r="N1297" i="1"/>
  <c r="M1297" i="1"/>
  <c r="J1297" i="1"/>
  <c r="I1297" i="1"/>
  <c r="H1297" i="1"/>
  <c r="F1297" i="1"/>
  <c r="D1297" i="1"/>
  <c r="B1297" i="1"/>
  <c r="A1297" i="1"/>
  <c r="U993" i="1"/>
  <c r="R993" i="1"/>
  <c r="Q993" i="1"/>
  <c r="P993" i="1"/>
  <c r="O993" i="1"/>
  <c r="N993" i="1"/>
  <c r="M993" i="1"/>
  <c r="J993" i="1"/>
  <c r="I993" i="1"/>
  <c r="H993" i="1"/>
  <c r="F993" i="1"/>
  <c r="D993" i="1"/>
  <c r="A993" i="1"/>
  <c r="U1103" i="1"/>
  <c r="R1103" i="1"/>
  <c r="Q1103" i="1"/>
  <c r="P1103" i="1"/>
  <c r="O1103" i="1"/>
  <c r="N1103" i="1"/>
  <c r="M1103" i="1"/>
  <c r="J1103" i="1"/>
  <c r="I1103" i="1"/>
  <c r="H1103" i="1"/>
  <c r="F1103" i="1"/>
  <c r="D1103" i="1"/>
  <c r="B1103" i="1"/>
  <c r="A1103" i="1"/>
  <c r="U1159" i="1"/>
  <c r="R1159" i="1"/>
  <c r="Q1159" i="1"/>
  <c r="P1159" i="1"/>
  <c r="O1159" i="1"/>
  <c r="N1159" i="1"/>
  <c r="M1159" i="1"/>
  <c r="J1159" i="1"/>
  <c r="I1159" i="1"/>
  <c r="H1159" i="1"/>
  <c r="F1159" i="1"/>
  <c r="D1159" i="1"/>
  <c r="B1159" i="1"/>
  <c r="A1159" i="1"/>
  <c r="U1245" i="1"/>
  <c r="R1245" i="1"/>
  <c r="Q1245" i="1"/>
  <c r="P1245" i="1"/>
  <c r="O1245" i="1"/>
  <c r="N1245" i="1"/>
  <c r="M1245" i="1"/>
  <c r="J1245" i="1"/>
  <c r="I1245" i="1"/>
  <c r="H1245" i="1"/>
  <c r="F1245" i="1"/>
  <c r="D1245" i="1"/>
  <c r="B1245" i="1"/>
  <c r="A1245" i="1"/>
  <c r="U1218" i="1"/>
  <c r="R1218" i="1"/>
  <c r="Q1218" i="1"/>
  <c r="P1218" i="1"/>
  <c r="O1218" i="1"/>
  <c r="N1218" i="1"/>
  <c r="M1218" i="1"/>
  <c r="J1218" i="1"/>
  <c r="I1218" i="1"/>
  <c r="H1218" i="1"/>
  <c r="F1218" i="1"/>
  <c r="D1218" i="1"/>
  <c r="B1218" i="1"/>
  <c r="A1218" i="1"/>
  <c r="U1290" i="1"/>
  <c r="R1290" i="1"/>
  <c r="Q1290" i="1"/>
  <c r="P1290" i="1"/>
  <c r="O1290" i="1"/>
  <c r="N1290" i="1"/>
  <c r="M1290" i="1"/>
  <c r="I1290" i="1"/>
  <c r="H1290" i="1"/>
  <c r="F1290" i="1"/>
  <c r="D1290" i="1"/>
  <c r="B1290" i="1"/>
  <c r="A1290" i="1"/>
  <c r="U1283" i="1"/>
  <c r="R1283" i="1"/>
  <c r="Q1283" i="1"/>
  <c r="P1283" i="1"/>
  <c r="O1283" i="1"/>
  <c r="N1283" i="1"/>
  <c r="M1283" i="1"/>
  <c r="I1283" i="1"/>
  <c r="H1283" i="1"/>
  <c r="F1283" i="1"/>
  <c r="D1283" i="1"/>
  <c r="B1283" i="1"/>
  <c r="A1283" i="1"/>
  <c r="U1337" i="1"/>
  <c r="R1337" i="1"/>
  <c r="Q1337" i="1"/>
  <c r="P1337" i="1"/>
  <c r="O1337" i="1"/>
  <c r="N1337" i="1"/>
  <c r="M1337" i="1"/>
  <c r="J1337" i="1"/>
  <c r="I1337" i="1"/>
  <c r="H1337" i="1"/>
  <c r="F1337" i="1"/>
  <c r="D1337" i="1"/>
  <c r="B1337" i="1"/>
  <c r="A1337" i="1"/>
  <c r="U1414" i="1"/>
  <c r="R1414" i="1"/>
  <c r="Q1414" i="1"/>
  <c r="P1414" i="1"/>
  <c r="O1414" i="1"/>
  <c r="N1414" i="1"/>
  <c r="M1414" i="1"/>
  <c r="J1414" i="1"/>
  <c r="I1414" i="1"/>
  <c r="H1414" i="1"/>
  <c r="F1414" i="1"/>
  <c r="D1414" i="1"/>
  <c r="B1414" i="1"/>
  <c r="A1414" i="1"/>
  <c r="U1274" i="1"/>
  <c r="R1274" i="1"/>
  <c r="Q1274" i="1"/>
  <c r="P1274" i="1"/>
  <c r="O1274" i="1"/>
  <c r="N1274" i="1"/>
  <c r="M1274" i="1"/>
  <c r="K1274" i="1"/>
  <c r="J1274" i="1"/>
  <c r="I1274" i="1"/>
  <c r="H1274" i="1"/>
  <c r="F1274" i="1"/>
  <c r="D1274" i="1"/>
  <c r="B1274" i="1"/>
  <c r="A1274" i="1"/>
  <c r="U1979" i="1"/>
  <c r="R1979" i="1"/>
  <c r="Q1979" i="1"/>
  <c r="P1979" i="1"/>
  <c r="O1979" i="1"/>
  <c r="N1979" i="1"/>
  <c r="M1979" i="1"/>
  <c r="J1979" i="1"/>
  <c r="I1979" i="1"/>
  <c r="H1979" i="1"/>
  <c r="F1979" i="1"/>
  <c r="D1979" i="1"/>
  <c r="B1979" i="1"/>
  <c r="A1979" i="1"/>
  <c r="U2282" i="1"/>
  <c r="R2282" i="1"/>
  <c r="Q2282" i="1"/>
  <c r="P2282" i="1"/>
  <c r="O2282" i="1"/>
  <c r="N2282" i="1"/>
  <c r="M2282" i="1"/>
  <c r="K2282" i="1"/>
  <c r="J2282" i="1"/>
  <c r="I2282" i="1"/>
  <c r="H2282" i="1"/>
  <c r="F2282" i="1"/>
  <c r="D2282" i="1"/>
  <c r="B2282" i="1"/>
  <c r="A2282" i="1"/>
  <c r="U2371" i="1"/>
  <c r="R2371" i="1"/>
  <c r="Q2371" i="1"/>
  <c r="P2371" i="1"/>
  <c r="O2371" i="1"/>
  <c r="N2371" i="1"/>
  <c r="M2371" i="1"/>
  <c r="K2371" i="1"/>
  <c r="J2371" i="1"/>
  <c r="I2371" i="1"/>
  <c r="H2371" i="1"/>
  <c r="F2371" i="1"/>
  <c r="D2371" i="1"/>
  <c r="B2371" i="1"/>
  <c r="A2371" i="1"/>
  <c r="U2205" i="1"/>
  <c r="R2205" i="1"/>
  <c r="Q2205" i="1"/>
  <c r="P2205" i="1"/>
  <c r="O2205" i="1"/>
  <c r="N2205" i="1"/>
  <c r="M2205" i="1"/>
  <c r="J2205" i="1"/>
  <c r="I2205" i="1"/>
  <c r="H2205" i="1"/>
  <c r="G2205" i="1"/>
  <c r="F2205" i="1"/>
  <c r="D2205" i="1"/>
  <c r="B2205" i="1"/>
  <c r="A2205" i="1"/>
  <c r="U2220" i="1"/>
  <c r="R2220" i="1"/>
  <c r="Q2220" i="1"/>
  <c r="P2220" i="1"/>
  <c r="O2220" i="1"/>
  <c r="N2220" i="1"/>
  <c r="M2220" i="1"/>
  <c r="J2220" i="1"/>
  <c r="I2220" i="1"/>
  <c r="H2220" i="1"/>
  <c r="F2220" i="1"/>
  <c r="D2220" i="1"/>
  <c r="B2220" i="1"/>
  <c r="A2220" i="1"/>
  <c r="U2552" i="1"/>
  <c r="R2552" i="1"/>
  <c r="Q2552" i="1"/>
  <c r="P2552" i="1"/>
  <c r="O2552" i="1"/>
  <c r="N2552" i="1"/>
  <c r="M2552" i="1"/>
  <c r="J2552" i="1"/>
  <c r="I2552" i="1"/>
  <c r="H2552" i="1"/>
  <c r="F2552" i="1"/>
  <c r="D2552" i="1"/>
  <c r="B2552" i="1"/>
  <c r="A2552" i="1"/>
  <c r="U2561" i="1"/>
  <c r="R2561" i="1"/>
  <c r="Q2561" i="1"/>
  <c r="P2561" i="1"/>
  <c r="O2561" i="1"/>
  <c r="N2561" i="1"/>
  <c r="M2561" i="1"/>
  <c r="J2561" i="1"/>
  <c r="I2561" i="1"/>
  <c r="H2561" i="1"/>
  <c r="F2561" i="1"/>
  <c r="D2561" i="1"/>
  <c r="B2561" i="1"/>
  <c r="A2561" i="1"/>
  <c r="U2599" i="1"/>
  <c r="R2599" i="1"/>
  <c r="Q2599" i="1"/>
  <c r="P2599" i="1"/>
  <c r="O2599" i="1"/>
  <c r="N2599" i="1"/>
  <c r="M2599" i="1"/>
  <c r="J2599" i="1"/>
  <c r="I2599" i="1"/>
  <c r="H2599" i="1"/>
  <c r="F2599" i="1"/>
  <c r="D2599" i="1"/>
  <c r="B2599" i="1"/>
  <c r="A2599" i="1"/>
  <c r="U2397" i="1"/>
  <c r="R2397" i="1"/>
  <c r="Q2397" i="1"/>
  <c r="P2397" i="1"/>
  <c r="O2397" i="1"/>
  <c r="N2397" i="1"/>
  <c r="M2397" i="1"/>
  <c r="J2397" i="1"/>
  <c r="I2397" i="1"/>
  <c r="H2397" i="1"/>
  <c r="F2397" i="1"/>
  <c r="D2397" i="1"/>
  <c r="B2397" i="1"/>
  <c r="A2397" i="1"/>
  <c r="U2243" i="1"/>
  <c r="R2243" i="1"/>
  <c r="Q2243" i="1"/>
  <c r="P2243" i="1"/>
  <c r="O2243" i="1"/>
  <c r="N2243" i="1"/>
  <c r="M2243" i="1"/>
  <c r="J2243" i="1"/>
  <c r="I2243" i="1"/>
  <c r="H2243" i="1"/>
  <c r="F2243" i="1"/>
  <c r="D2243" i="1"/>
  <c r="B2243" i="1"/>
  <c r="A2243" i="1"/>
  <c r="U2232" i="1"/>
  <c r="R2232" i="1"/>
  <c r="Q2232" i="1"/>
  <c r="P2232" i="1"/>
  <c r="O2232" i="1"/>
  <c r="N2232" i="1"/>
  <c r="M2232" i="1"/>
  <c r="J2232" i="1"/>
  <c r="I2232" i="1"/>
  <c r="H2232" i="1"/>
  <c r="F2232" i="1"/>
  <c r="D2232" i="1"/>
  <c r="B2232" i="1"/>
  <c r="A2232" i="1"/>
  <c r="U2139" i="1"/>
  <c r="R2139" i="1"/>
  <c r="Q2139" i="1"/>
  <c r="P2139" i="1"/>
  <c r="O2139" i="1"/>
  <c r="N2139" i="1"/>
  <c r="M2139" i="1"/>
  <c r="J2139" i="1"/>
  <c r="I2139" i="1"/>
  <c r="H2139" i="1"/>
  <c r="F2139" i="1"/>
  <c r="D2139" i="1"/>
  <c r="B2139" i="1"/>
  <c r="A2139" i="1"/>
  <c r="U2525" i="1"/>
  <c r="R2525" i="1"/>
  <c r="Q2525" i="1"/>
  <c r="P2525" i="1"/>
  <c r="O2525" i="1"/>
  <c r="N2525" i="1"/>
  <c r="M2525" i="1"/>
  <c r="J2525" i="1"/>
  <c r="I2525" i="1"/>
  <c r="H2525" i="1"/>
  <c r="F2525" i="1"/>
  <c r="D2525" i="1"/>
  <c r="A2525" i="1"/>
  <c r="U2234" i="1"/>
  <c r="R2234" i="1"/>
  <c r="Q2234" i="1"/>
  <c r="P2234" i="1"/>
  <c r="O2234" i="1"/>
  <c r="N2234" i="1"/>
  <c r="M2234" i="1"/>
  <c r="J2234" i="1"/>
  <c r="I2234" i="1"/>
  <c r="H2234" i="1"/>
  <c r="F2234" i="1"/>
  <c r="D2234" i="1"/>
  <c r="B2234" i="1"/>
  <c r="A2234" i="1"/>
  <c r="U3031" i="1"/>
  <c r="R3031" i="1"/>
  <c r="Q3031" i="1"/>
  <c r="P3031" i="1"/>
  <c r="O3031" i="1"/>
  <c r="N3031" i="1"/>
  <c r="M3031" i="1"/>
  <c r="J3031" i="1"/>
  <c r="I3031" i="1"/>
  <c r="H3031" i="1"/>
  <c r="F3031" i="1"/>
  <c r="E3031" i="1"/>
  <c r="D3031" i="1"/>
  <c r="B3031" i="1"/>
  <c r="A3031" i="1"/>
  <c r="U2214" i="1"/>
  <c r="R2214" i="1"/>
  <c r="Q2214" i="1"/>
  <c r="P2214" i="1"/>
  <c r="O2214" i="1"/>
  <c r="N2214" i="1"/>
  <c r="M2214" i="1"/>
  <c r="J2214" i="1"/>
  <c r="I2214" i="1"/>
  <c r="H2214" i="1"/>
  <c r="F2214" i="1"/>
  <c r="E2214" i="1"/>
  <c r="D2214" i="1"/>
  <c r="B2214" i="1"/>
  <c r="A2214" i="1"/>
  <c r="U2213" i="1"/>
  <c r="R2213" i="1"/>
  <c r="Q2213" i="1"/>
  <c r="P2213" i="1"/>
  <c r="O2213" i="1"/>
  <c r="N2213" i="1"/>
  <c r="M2213" i="1"/>
  <c r="J2213" i="1"/>
  <c r="I2213" i="1"/>
  <c r="H2213" i="1"/>
  <c r="F2213" i="1"/>
  <c r="D2213" i="1"/>
  <c r="B2213" i="1"/>
  <c r="A2213" i="1"/>
  <c r="U2212" i="1"/>
  <c r="R2212" i="1"/>
  <c r="Q2212" i="1"/>
  <c r="P2212" i="1"/>
  <c r="O2212" i="1"/>
  <c r="N2212" i="1"/>
  <c r="M2212" i="1"/>
  <c r="J2212" i="1"/>
  <c r="I2212" i="1"/>
  <c r="H2212" i="1"/>
  <c r="F2212" i="1"/>
  <c r="D2212" i="1"/>
  <c r="B2212" i="1"/>
  <c r="A2212" i="1"/>
  <c r="U2702" i="1"/>
  <c r="R2702" i="1"/>
  <c r="Q2702" i="1"/>
  <c r="P2702" i="1"/>
  <c r="O2702" i="1"/>
  <c r="N2702" i="1"/>
  <c r="M2702" i="1"/>
  <c r="J2702" i="1"/>
  <c r="I2702" i="1"/>
  <c r="H2702" i="1"/>
  <c r="F2702" i="1"/>
  <c r="D2702" i="1"/>
  <c r="B2702" i="1"/>
  <c r="A2702" i="1"/>
  <c r="U2840" i="1"/>
  <c r="R2840" i="1"/>
  <c r="Q2840" i="1"/>
  <c r="P2840" i="1"/>
  <c r="O2840" i="1"/>
  <c r="N2840" i="1"/>
  <c r="M2840" i="1"/>
  <c r="J2840" i="1"/>
  <c r="I2840" i="1"/>
  <c r="H2840" i="1"/>
  <c r="G2840" i="1"/>
  <c r="F2840" i="1"/>
  <c r="D2840" i="1"/>
  <c r="A2840" i="1"/>
  <c r="U2695" i="1"/>
  <c r="R2695" i="1"/>
  <c r="Q2695" i="1"/>
  <c r="P2695" i="1"/>
  <c r="O2695" i="1"/>
  <c r="N2695" i="1"/>
  <c r="M2695" i="1"/>
  <c r="J2695" i="1"/>
  <c r="I2695" i="1"/>
  <c r="H2695" i="1"/>
  <c r="F2695" i="1"/>
  <c r="D2695" i="1"/>
  <c r="B2695" i="1"/>
  <c r="A2695" i="1"/>
  <c r="U2988" i="1"/>
  <c r="R2988" i="1"/>
  <c r="Q2988" i="1"/>
  <c r="P2988" i="1"/>
  <c r="O2988" i="1"/>
  <c r="N2988" i="1"/>
  <c r="M2988" i="1"/>
  <c r="J2988" i="1"/>
  <c r="I2988" i="1"/>
  <c r="H2988" i="1"/>
  <c r="F2988" i="1"/>
  <c r="E2988" i="1"/>
  <c r="D2988" i="1"/>
  <c r="B2988" i="1"/>
  <c r="A2988" i="1"/>
  <c r="U2987" i="1"/>
  <c r="R2987" i="1"/>
  <c r="Q2987" i="1"/>
  <c r="P2987" i="1"/>
  <c r="O2987" i="1"/>
  <c r="N2987" i="1"/>
  <c r="M2987" i="1"/>
  <c r="J2987" i="1"/>
  <c r="I2987" i="1"/>
  <c r="H2987" i="1"/>
  <c r="F2987" i="1"/>
  <c r="D2987" i="1"/>
  <c r="B2987" i="1"/>
  <c r="A2987" i="1"/>
  <c r="U2932" i="1"/>
  <c r="R2932" i="1"/>
  <c r="Q2932" i="1"/>
  <c r="P2932" i="1"/>
  <c r="O2932" i="1"/>
  <c r="N2932" i="1"/>
  <c r="M2932" i="1"/>
  <c r="J2932" i="1"/>
  <c r="I2932" i="1"/>
  <c r="H2932" i="1"/>
  <c r="F2932" i="1"/>
  <c r="D2932" i="1"/>
  <c r="B2932" i="1"/>
  <c r="A2932" i="1"/>
  <c r="U2825" i="1"/>
  <c r="R2825" i="1"/>
  <c r="Q2825" i="1"/>
  <c r="P2825" i="1"/>
  <c r="O2825" i="1"/>
  <c r="N2825" i="1"/>
  <c r="M2825" i="1"/>
  <c r="J2825" i="1"/>
  <c r="I2825" i="1"/>
  <c r="H2825" i="1"/>
  <c r="F2825" i="1"/>
  <c r="D2825" i="1"/>
  <c r="B2825" i="1"/>
  <c r="A2825" i="1"/>
  <c r="U3143" i="1"/>
  <c r="R3143" i="1"/>
  <c r="Q3143" i="1"/>
  <c r="P3143" i="1"/>
  <c r="O3143" i="1"/>
  <c r="N3143" i="1"/>
  <c r="M3143" i="1"/>
  <c r="J3143" i="1"/>
  <c r="I3143" i="1"/>
  <c r="H3143" i="1"/>
  <c r="F3143" i="1"/>
  <c r="D3143" i="1"/>
  <c r="B3143" i="1"/>
  <c r="A3143" i="1"/>
  <c r="U2275" i="1"/>
  <c r="R2275" i="1"/>
  <c r="Q2275" i="1"/>
  <c r="P2275" i="1"/>
  <c r="O2275" i="1"/>
  <c r="N2275" i="1"/>
  <c r="M2275" i="1"/>
  <c r="J2275" i="1"/>
  <c r="I2275" i="1"/>
  <c r="H2275" i="1"/>
  <c r="F2275" i="1"/>
  <c r="D2275" i="1"/>
  <c r="B2275" i="1"/>
  <c r="A2275" i="1"/>
  <c r="U2660" i="1"/>
  <c r="R2660" i="1"/>
  <c r="Q2660" i="1"/>
  <c r="P2660" i="1"/>
  <c r="O2660" i="1"/>
  <c r="N2660" i="1"/>
  <c r="M2660" i="1"/>
  <c r="J2660" i="1"/>
  <c r="I2660" i="1"/>
  <c r="H2660" i="1"/>
  <c r="F2660" i="1"/>
  <c r="D2660" i="1"/>
  <c r="B2660" i="1"/>
  <c r="A2660" i="1"/>
  <c r="U2797" i="1"/>
  <c r="R2797" i="1"/>
  <c r="Q2797" i="1"/>
  <c r="P2797" i="1"/>
  <c r="O2797" i="1"/>
  <c r="N2797" i="1"/>
  <c r="M2797" i="1"/>
  <c r="J2797" i="1"/>
  <c r="I2797" i="1"/>
  <c r="H2797" i="1"/>
  <c r="F2797" i="1"/>
  <c r="D2797" i="1"/>
  <c r="B2797" i="1"/>
  <c r="A2797" i="1"/>
  <c r="U2796" i="1"/>
  <c r="R2796" i="1"/>
  <c r="Q2796" i="1"/>
  <c r="P2796" i="1"/>
  <c r="O2796" i="1"/>
  <c r="N2796" i="1"/>
  <c r="M2796" i="1"/>
  <c r="J2796" i="1"/>
  <c r="I2796" i="1"/>
  <c r="H2796" i="1"/>
  <c r="F2796" i="1"/>
  <c r="D2796" i="1"/>
  <c r="B2796" i="1"/>
  <c r="A2796" i="1"/>
  <c r="U2795" i="1"/>
  <c r="R2795" i="1"/>
  <c r="Q2795" i="1"/>
  <c r="P2795" i="1"/>
  <c r="O2795" i="1"/>
  <c r="N2795" i="1"/>
  <c r="M2795" i="1"/>
  <c r="J2795" i="1"/>
  <c r="I2795" i="1"/>
  <c r="H2795" i="1"/>
  <c r="F2795" i="1"/>
  <c r="D2795" i="1"/>
  <c r="A2795" i="1"/>
  <c r="U2824" i="1"/>
  <c r="R2824" i="1"/>
  <c r="Q2824" i="1"/>
  <c r="P2824" i="1"/>
  <c r="O2824" i="1"/>
  <c r="N2824" i="1"/>
  <c r="M2824" i="1"/>
  <c r="J2824" i="1"/>
  <c r="I2824" i="1"/>
  <c r="H2824" i="1"/>
  <c r="F2824" i="1"/>
  <c r="D2824" i="1"/>
  <c r="B2824" i="1"/>
  <c r="A2824" i="1"/>
  <c r="U3181" i="1"/>
  <c r="R3181" i="1"/>
  <c r="Q3181" i="1"/>
  <c r="P3181" i="1"/>
  <c r="O3181" i="1"/>
  <c r="N3181" i="1"/>
  <c r="M3181" i="1"/>
  <c r="J3181" i="1"/>
  <c r="I3181" i="1"/>
  <c r="H3181" i="1"/>
  <c r="F3181" i="1"/>
  <c r="D3181" i="1"/>
  <c r="A3181" i="1"/>
  <c r="U2755" i="1"/>
  <c r="R2755" i="1"/>
  <c r="Q2755" i="1"/>
  <c r="P2755" i="1"/>
  <c r="O2755" i="1"/>
  <c r="N2755" i="1"/>
  <c r="M2755" i="1"/>
  <c r="J2755" i="1"/>
  <c r="I2755" i="1"/>
  <c r="H2755" i="1"/>
  <c r="F2755" i="1"/>
  <c r="D2755" i="1"/>
  <c r="B2755" i="1"/>
  <c r="A2755" i="1"/>
  <c r="U1686" i="1"/>
  <c r="R1686" i="1"/>
  <c r="Q1686" i="1"/>
  <c r="P1686" i="1"/>
  <c r="O1686" i="1"/>
  <c r="N1686" i="1"/>
  <c r="M1686" i="1"/>
  <c r="J1686" i="1"/>
  <c r="I1686" i="1"/>
  <c r="H1686" i="1"/>
  <c r="F1686" i="1"/>
  <c r="D1686" i="1"/>
  <c r="B1686" i="1"/>
  <c r="A1686" i="1"/>
  <c r="U1685" i="1"/>
  <c r="R1685" i="1"/>
  <c r="Q1685" i="1"/>
  <c r="P1685" i="1"/>
  <c r="O1685" i="1"/>
  <c r="N1685" i="1"/>
  <c r="M1685" i="1"/>
  <c r="J1685" i="1"/>
  <c r="I1685" i="1"/>
  <c r="H1685" i="1"/>
  <c r="F1685" i="1"/>
  <c r="D1685" i="1"/>
  <c r="B1685" i="1"/>
  <c r="A1685" i="1"/>
  <c r="U1684" i="1"/>
  <c r="R1684" i="1"/>
  <c r="Q1684" i="1"/>
  <c r="P1684" i="1"/>
  <c r="O1684" i="1"/>
  <c r="N1684" i="1"/>
  <c r="M1684" i="1"/>
  <c r="J1684" i="1"/>
  <c r="I1684" i="1"/>
  <c r="H1684" i="1"/>
  <c r="F1684" i="1"/>
  <c r="D1684" i="1"/>
  <c r="B1684" i="1"/>
  <c r="A1684" i="1"/>
  <c r="U2474" i="1"/>
  <c r="R2474" i="1"/>
  <c r="Q2474" i="1"/>
  <c r="P2474" i="1"/>
  <c r="O2474" i="1"/>
  <c r="N2474" i="1"/>
  <c r="M2474" i="1"/>
  <c r="J2474" i="1"/>
  <c r="I2474" i="1"/>
  <c r="H2474" i="1"/>
  <c r="F2474" i="1"/>
  <c r="E2474" i="1"/>
  <c r="D2474" i="1"/>
  <c r="A2474" i="1"/>
  <c r="U3187" i="1"/>
  <c r="R3187" i="1"/>
  <c r="Q3187" i="1"/>
  <c r="P3187" i="1"/>
  <c r="O3187" i="1"/>
  <c r="N3187" i="1"/>
  <c r="M3187" i="1"/>
  <c r="J3187" i="1"/>
  <c r="I3187" i="1"/>
  <c r="H3187" i="1"/>
  <c r="F3187" i="1"/>
  <c r="D3187" i="1"/>
  <c r="B3187" i="1"/>
  <c r="A3187" i="1"/>
  <c r="U2944" i="1"/>
  <c r="R2944" i="1"/>
  <c r="Q2944" i="1"/>
  <c r="P2944" i="1"/>
  <c r="O2944" i="1"/>
  <c r="N2944" i="1"/>
  <c r="M2944" i="1"/>
  <c r="J2944" i="1"/>
  <c r="I2944" i="1"/>
  <c r="H2944" i="1"/>
  <c r="F2944" i="1"/>
  <c r="D2944" i="1"/>
  <c r="B2944" i="1"/>
  <c r="A2944" i="1"/>
  <c r="U2754" i="1"/>
  <c r="R2754" i="1"/>
  <c r="Q2754" i="1"/>
  <c r="P2754" i="1"/>
  <c r="O2754" i="1"/>
  <c r="N2754" i="1"/>
  <c r="M2754" i="1"/>
  <c r="J2754" i="1"/>
  <c r="I2754" i="1"/>
  <c r="H2754" i="1"/>
  <c r="F2754" i="1"/>
  <c r="D2754" i="1"/>
  <c r="B2754" i="1"/>
  <c r="A2754" i="1"/>
  <c r="U2396" i="1"/>
  <c r="R2396" i="1"/>
  <c r="Q2396" i="1"/>
  <c r="P2396" i="1"/>
  <c r="O2396" i="1"/>
  <c r="N2396" i="1"/>
  <c r="M2396" i="1"/>
  <c r="J2396" i="1"/>
  <c r="I2396" i="1"/>
  <c r="H2396" i="1"/>
  <c r="G2396" i="1"/>
  <c r="F2396" i="1"/>
  <c r="D2396" i="1"/>
  <c r="B2396" i="1"/>
  <c r="A2396" i="1"/>
  <c r="U3109" i="1"/>
  <c r="R3109" i="1"/>
  <c r="Q3109" i="1"/>
  <c r="P3109" i="1"/>
  <c r="O3109" i="1"/>
  <c r="N3109" i="1"/>
  <c r="M3109" i="1"/>
  <c r="J3109" i="1"/>
  <c r="I3109" i="1"/>
  <c r="H3109" i="1"/>
  <c r="F3109" i="1"/>
  <c r="D3109" i="1"/>
  <c r="B3109" i="1"/>
  <c r="A3109" i="1"/>
  <c r="U2753" i="1"/>
  <c r="R2753" i="1"/>
  <c r="Q2753" i="1"/>
  <c r="P2753" i="1"/>
  <c r="O2753" i="1"/>
  <c r="N2753" i="1"/>
  <c r="M2753" i="1"/>
  <c r="J2753" i="1"/>
  <c r="I2753" i="1"/>
  <c r="H2753" i="1"/>
  <c r="F2753" i="1"/>
  <c r="D2753" i="1"/>
  <c r="B2753" i="1"/>
  <c r="A2753" i="1"/>
  <c r="U2869" i="1"/>
  <c r="R2869" i="1"/>
  <c r="Q2869" i="1"/>
  <c r="P2869" i="1"/>
  <c r="O2869" i="1"/>
  <c r="N2869" i="1"/>
  <c r="M2869" i="1"/>
  <c r="J2869" i="1"/>
  <c r="I2869" i="1"/>
  <c r="H2869" i="1"/>
  <c r="F2869" i="1"/>
  <c r="D2869" i="1"/>
  <c r="B2869" i="1"/>
  <c r="A2869" i="1"/>
  <c r="U2716" i="1"/>
  <c r="R2716" i="1"/>
  <c r="Q2716" i="1"/>
  <c r="P2716" i="1"/>
  <c r="O2716" i="1"/>
  <c r="N2716" i="1"/>
  <c r="M2716" i="1"/>
  <c r="J2716" i="1"/>
  <c r="I2716" i="1"/>
  <c r="H2716" i="1"/>
  <c r="F2716" i="1"/>
  <c r="D2716" i="1"/>
  <c r="B2716" i="1"/>
  <c r="A2716" i="1"/>
  <c r="U2794" i="1"/>
  <c r="R2794" i="1"/>
  <c r="Q2794" i="1"/>
  <c r="P2794" i="1"/>
  <c r="O2794" i="1"/>
  <c r="N2794" i="1"/>
  <c r="M2794" i="1"/>
  <c r="J2794" i="1"/>
  <c r="I2794" i="1"/>
  <c r="H2794" i="1"/>
  <c r="F2794" i="1"/>
  <c r="D2794" i="1"/>
  <c r="B2794" i="1"/>
  <c r="A2794" i="1"/>
  <c r="U2793" i="1"/>
  <c r="R2793" i="1"/>
  <c r="Q2793" i="1"/>
  <c r="P2793" i="1"/>
  <c r="O2793" i="1"/>
  <c r="N2793" i="1"/>
  <c r="M2793" i="1"/>
  <c r="J2793" i="1"/>
  <c r="I2793" i="1"/>
  <c r="H2793" i="1"/>
  <c r="F2793" i="1"/>
  <c r="D2793" i="1"/>
  <c r="B2793" i="1"/>
  <c r="A2793" i="1"/>
  <c r="U2380" i="1"/>
  <c r="R2380" i="1"/>
  <c r="Q2380" i="1"/>
  <c r="P2380" i="1"/>
  <c r="O2380" i="1"/>
  <c r="N2380" i="1"/>
  <c r="M2380" i="1"/>
  <c r="J2380" i="1"/>
  <c r="I2380" i="1"/>
  <c r="H2380" i="1"/>
  <c r="F2380" i="1"/>
  <c r="D2380" i="1"/>
  <c r="B2380" i="1"/>
  <c r="A2380" i="1"/>
  <c r="U2984" i="1"/>
  <c r="R2984" i="1"/>
  <c r="Q2984" i="1"/>
  <c r="P2984" i="1"/>
  <c r="O2984" i="1"/>
  <c r="N2984" i="1"/>
  <c r="M2984" i="1"/>
  <c r="K2984" i="1"/>
  <c r="J2984" i="1"/>
  <c r="I2984" i="1"/>
  <c r="H2984" i="1"/>
  <c r="G2984" i="1"/>
  <c r="F2984" i="1"/>
  <c r="D2984" i="1"/>
  <c r="B2984" i="1"/>
  <c r="A2984" i="1"/>
  <c r="U2792" i="1"/>
  <c r="R2792" i="1"/>
  <c r="Q2792" i="1"/>
  <c r="P2792" i="1"/>
  <c r="O2792" i="1"/>
  <c r="N2792" i="1"/>
  <c r="M2792" i="1"/>
  <c r="J2792" i="1"/>
  <c r="I2792" i="1"/>
  <c r="H2792" i="1"/>
  <c r="F2792" i="1"/>
  <c r="D2792" i="1"/>
  <c r="A2792" i="1"/>
  <c r="U2633" i="1"/>
  <c r="R2633" i="1"/>
  <c r="Q2633" i="1"/>
  <c r="P2633" i="1"/>
  <c r="O2633" i="1"/>
  <c r="N2633" i="1"/>
  <c r="M2633" i="1"/>
  <c r="J2633" i="1"/>
  <c r="I2633" i="1"/>
  <c r="H2633" i="1"/>
  <c r="F2633" i="1"/>
  <c r="D2633" i="1"/>
  <c r="B2633" i="1"/>
  <c r="A2633" i="1"/>
  <c r="U97" i="1"/>
  <c r="R97" i="1"/>
  <c r="Q97" i="1"/>
  <c r="P97" i="1"/>
  <c r="O97" i="1"/>
  <c r="N97" i="1"/>
  <c r="M97" i="1"/>
  <c r="I97" i="1"/>
  <c r="H97" i="1"/>
  <c r="F97" i="1"/>
  <c r="D97" i="1"/>
  <c r="B97" i="1"/>
  <c r="A97" i="1"/>
  <c r="U229" i="1"/>
  <c r="R229" i="1"/>
  <c r="Q229" i="1"/>
  <c r="P229" i="1"/>
  <c r="O229" i="1"/>
  <c r="N229" i="1"/>
  <c r="M229" i="1"/>
  <c r="J229" i="1"/>
  <c r="I229" i="1"/>
  <c r="H229" i="1"/>
  <c r="F229" i="1"/>
  <c r="D229" i="1"/>
  <c r="B229" i="1"/>
  <c r="A229" i="1"/>
  <c r="U125" i="1"/>
  <c r="R125" i="1"/>
  <c r="Q125" i="1"/>
  <c r="P125" i="1"/>
  <c r="O125" i="1"/>
  <c r="N125" i="1"/>
  <c r="M125" i="1"/>
  <c r="J125" i="1"/>
  <c r="I125" i="1"/>
  <c r="H125" i="1"/>
  <c r="F125" i="1"/>
  <c r="D125" i="1"/>
  <c r="B125" i="1"/>
  <c r="A125" i="1"/>
  <c r="U311" i="1"/>
  <c r="R311" i="1"/>
  <c r="Q311" i="1"/>
  <c r="P311" i="1"/>
  <c r="O311" i="1"/>
  <c r="N311" i="1"/>
  <c r="M311" i="1"/>
  <c r="I311" i="1"/>
  <c r="H311" i="1"/>
  <c r="F311" i="1"/>
  <c r="D311" i="1"/>
  <c r="B311" i="1"/>
  <c r="A311" i="1"/>
  <c r="U348" i="1"/>
  <c r="R348" i="1"/>
  <c r="Q348" i="1"/>
  <c r="P348" i="1"/>
  <c r="O348" i="1"/>
  <c r="N348" i="1"/>
  <c r="M348" i="1"/>
  <c r="I348" i="1"/>
  <c r="H348" i="1"/>
  <c r="F348" i="1"/>
  <c r="D348" i="1"/>
  <c r="B348" i="1"/>
  <c r="A348" i="1"/>
  <c r="U395" i="1"/>
  <c r="R395" i="1"/>
  <c r="Q395" i="1"/>
  <c r="P395" i="1"/>
  <c r="O395" i="1"/>
  <c r="N395" i="1"/>
  <c r="M395" i="1"/>
  <c r="I395" i="1"/>
  <c r="H395" i="1"/>
  <c r="F395" i="1"/>
  <c r="D395" i="1"/>
  <c r="B395" i="1"/>
  <c r="A395" i="1"/>
  <c r="U402" i="1"/>
  <c r="R402" i="1"/>
  <c r="Q402" i="1"/>
  <c r="P402" i="1"/>
  <c r="O402" i="1"/>
  <c r="N402" i="1"/>
  <c r="M402" i="1"/>
  <c r="I402" i="1"/>
  <c r="H402" i="1"/>
  <c r="F402" i="1"/>
  <c r="E402" i="1"/>
  <c r="D402" i="1"/>
  <c r="B402" i="1"/>
  <c r="A402" i="1"/>
  <c r="U415" i="1"/>
  <c r="R415" i="1"/>
  <c r="Q415" i="1"/>
  <c r="P415" i="1"/>
  <c r="O415" i="1"/>
  <c r="N415" i="1"/>
  <c r="M415" i="1"/>
  <c r="I415" i="1"/>
  <c r="H415" i="1"/>
  <c r="F415" i="1"/>
  <c r="D415" i="1"/>
  <c r="B415" i="1"/>
  <c r="A415" i="1"/>
  <c r="U517" i="1"/>
  <c r="R517" i="1"/>
  <c r="Q517" i="1"/>
  <c r="P517" i="1"/>
  <c r="O517" i="1"/>
  <c r="N517" i="1"/>
  <c r="M517" i="1"/>
  <c r="I517" i="1"/>
  <c r="H517" i="1"/>
  <c r="F517" i="1"/>
  <c r="D517" i="1"/>
  <c r="B517" i="1"/>
  <c r="A517" i="1"/>
  <c r="U588" i="1"/>
  <c r="R588" i="1"/>
  <c r="Q588" i="1"/>
  <c r="P588" i="1"/>
  <c r="O588" i="1"/>
  <c r="N588" i="1"/>
  <c r="M588" i="1"/>
  <c r="I588" i="1"/>
  <c r="H588" i="1"/>
  <c r="F588" i="1"/>
  <c r="D588" i="1"/>
  <c r="B588" i="1"/>
  <c r="A588" i="1"/>
  <c r="U618" i="1"/>
  <c r="R618" i="1"/>
  <c r="Q618" i="1"/>
  <c r="P618" i="1"/>
  <c r="O618" i="1"/>
  <c r="N618" i="1"/>
  <c r="M618" i="1"/>
  <c r="I618" i="1"/>
  <c r="H618" i="1"/>
  <c r="F618" i="1"/>
  <c r="D618" i="1"/>
  <c r="B618" i="1"/>
  <c r="A618" i="1"/>
  <c r="U617" i="1"/>
  <c r="R617" i="1"/>
  <c r="Q617" i="1"/>
  <c r="P617" i="1"/>
  <c r="O617" i="1"/>
  <c r="N617" i="1"/>
  <c r="M617" i="1"/>
  <c r="I617" i="1"/>
  <c r="H617" i="1"/>
  <c r="F617" i="1"/>
  <c r="D617" i="1"/>
  <c r="B617" i="1"/>
  <c r="A617" i="1"/>
  <c r="U591" i="1"/>
  <c r="R591" i="1"/>
  <c r="Q591" i="1"/>
  <c r="P591" i="1"/>
  <c r="O591" i="1"/>
  <c r="N591" i="1"/>
  <c r="M591" i="1"/>
  <c r="J591" i="1"/>
  <c r="I591" i="1"/>
  <c r="H591" i="1"/>
  <c r="F591" i="1"/>
  <c r="E591" i="1"/>
  <c r="D591" i="1"/>
  <c r="B591" i="1"/>
  <c r="A591" i="1"/>
  <c r="U748" i="1"/>
  <c r="R748" i="1"/>
  <c r="Q748" i="1"/>
  <c r="P748" i="1"/>
  <c r="O748" i="1"/>
  <c r="N748" i="1"/>
  <c r="M748" i="1"/>
  <c r="I748" i="1"/>
  <c r="H748" i="1"/>
  <c r="F748" i="1"/>
  <c r="D748" i="1"/>
  <c r="A748" i="1"/>
  <c r="U736" i="1"/>
  <c r="R736" i="1"/>
  <c r="Q736" i="1"/>
  <c r="P736" i="1"/>
  <c r="O736" i="1"/>
  <c r="N736" i="1"/>
  <c r="M736" i="1"/>
  <c r="I736" i="1"/>
  <c r="H736" i="1"/>
  <c r="F736" i="1"/>
  <c r="D736" i="1"/>
  <c r="B736" i="1"/>
  <c r="A736" i="1"/>
  <c r="U791" i="1"/>
  <c r="R791" i="1"/>
  <c r="Q791" i="1"/>
  <c r="P791" i="1"/>
  <c r="O791" i="1"/>
  <c r="N791" i="1"/>
  <c r="M791" i="1"/>
  <c r="J791" i="1"/>
  <c r="I791" i="1"/>
  <c r="H791" i="1"/>
  <c r="F791" i="1"/>
  <c r="D791" i="1"/>
  <c r="B791" i="1"/>
  <c r="A791" i="1"/>
  <c r="U813" i="1"/>
  <c r="R813" i="1"/>
  <c r="Q813" i="1"/>
  <c r="P813" i="1"/>
  <c r="O813" i="1"/>
  <c r="N813" i="1"/>
  <c r="M813" i="1"/>
  <c r="J813" i="1"/>
  <c r="I813" i="1"/>
  <c r="H813" i="1"/>
  <c r="F813" i="1"/>
  <c r="D813" i="1"/>
  <c r="B813" i="1"/>
  <c r="A813" i="1"/>
  <c r="U2115" i="1"/>
  <c r="R2115" i="1"/>
  <c r="Q2115" i="1"/>
  <c r="P2115" i="1"/>
  <c r="O2115" i="1"/>
  <c r="N2115" i="1"/>
  <c r="M2115" i="1"/>
  <c r="I2115" i="1"/>
  <c r="H2115" i="1"/>
  <c r="F2115" i="1"/>
  <c r="E2115" i="1"/>
  <c r="D2115" i="1"/>
  <c r="B2115" i="1"/>
  <c r="A2115" i="1"/>
  <c r="U942" i="1"/>
  <c r="R942" i="1"/>
  <c r="Q942" i="1"/>
  <c r="P942" i="1"/>
  <c r="O942" i="1"/>
  <c r="N942" i="1"/>
  <c r="M942" i="1"/>
  <c r="I942" i="1"/>
  <c r="H942" i="1"/>
  <c r="F942" i="1"/>
  <c r="D942" i="1"/>
  <c r="B942" i="1"/>
  <c r="A942" i="1"/>
  <c r="U953" i="1"/>
  <c r="R953" i="1"/>
  <c r="Q953" i="1"/>
  <c r="P953" i="1"/>
  <c r="O953" i="1"/>
  <c r="N953" i="1"/>
  <c r="M953" i="1"/>
  <c r="I953" i="1"/>
  <c r="H953" i="1"/>
  <c r="F953" i="1"/>
  <c r="E953" i="1"/>
  <c r="D953" i="1"/>
  <c r="B953" i="1"/>
  <c r="A953" i="1"/>
  <c r="U975" i="1"/>
  <c r="R975" i="1"/>
  <c r="Q975" i="1"/>
  <c r="P975" i="1"/>
  <c r="O975" i="1"/>
  <c r="N975" i="1"/>
  <c r="M975" i="1"/>
  <c r="I975" i="1"/>
  <c r="H975" i="1"/>
  <c r="F975" i="1"/>
  <c r="D975" i="1"/>
  <c r="B975" i="1"/>
  <c r="A975" i="1"/>
  <c r="U977" i="1"/>
  <c r="R977" i="1"/>
  <c r="Q977" i="1"/>
  <c r="P977" i="1"/>
  <c r="O977" i="1"/>
  <c r="N977" i="1"/>
  <c r="M977" i="1"/>
  <c r="I977" i="1"/>
  <c r="H977" i="1"/>
  <c r="F977" i="1"/>
  <c r="D977" i="1"/>
  <c r="B977" i="1"/>
  <c r="A977" i="1"/>
  <c r="U1142" i="1"/>
  <c r="R1142" i="1"/>
  <c r="Q1142" i="1"/>
  <c r="P1142" i="1"/>
  <c r="O1142" i="1"/>
  <c r="N1142" i="1"/>
  <c r="M1142" i="1"/>
  <c r="I1142" i="1"/>
  <c r="H1142" i="1"/>
  <c r="F1142" i="1"/>
  <c r="D1142" i="1"/>
  <c r="B1142" i="1"/>
  <c r="A1142" i="1"/>
  <c r="U1227" i="1"/>
  <c r="R1227" i="1"/>
  <c r="Q1227" i="1"/>
  <c r="P1227" i="1"/>
  <c r="O1227" i="1"/>
  <c r="N1227" i="1"/>
  <c r="M1227" i="1"/>
  <c r="I1227" i="1"/>
  <c r="H1227" i="1"/>
  <c r="F1227" i="1"/>
  <c r="D1227" i="1"/>
  <c r="B1227" i="1"/>
  <c r="A1227" i="1"/>
  <c r="U1250" i="1"/>
  <c r="R1250" i="1"/>
  <c r="Q1250" i="1"/>
  <c r="P1250" i="1"/>
  <c r="O1250" i="1"/>
  <c r="N1250" i="1"/>
  <c r="M1250" i="1"/>
  <c r="J1250" i="1"/>
  <c r="I1250" i="1"/>
  <c r="H1250" i="1"/>
  <c r="F1250" i="1"/>
  <c r="D1250" i="1"/>
  <c r="B1250" i="1"/>
  <c r="A1250" i="1"/>
  <c r="U1257" i="1"/>
  <c r="R1257" i="1"/>
  <c r="Q1257" i="1"/>
  <c r="P1257" i="1"/>
  <c r="O1257" i="1"/>
  <c r="N1257" i="1"/>
  <c r="M1257" i="1"/>
  <c r="I1257" i="1"/>
  <c r="H1257" i="1"/>
  <c r="F1257" i="1"/>
  <c r="D1257" i="1"/>
  <c r="B1257" i="1"/>
  <c r="A1257" i="1"/>
  <c r="U1261" i="1"/>
  <c r="R1261" i="1"/>
  <c r="Q1261" i="1"/>
  <c r="P1261" i="1"/>
  <c r="O1261" i="1"/>
  <c r="N1261" i="1"/>
  <c r="M1261" i="1"/>
  <c r="I1261" i="1"/>
  <c r="H1261" i="1"/>
  <c r="F1261" i="1"/>
  <c r="D1261" i="1"/>
  <c r="B1261" i="1"/>
  <c r="A1261" i="1"/>
  <c r="U1277" i="1"/>
  <c r="R1277" i="1"/>
  <c r="Q1277" i="1"/>
  <c r="P1277" i="1"/>
  <c r="O1277" i="1"/>
  <c r="N1277" i="1"/>
  <c r="M1277" i="1"/>
  <c r="I1277" i="1"/>
  <c r="H1277" i="1"/>
  <c r="F1277" i="1"/>
  <c r="D1277" i="1"/>
  <c r="B1277" i="1"/>
  <c r="A1277" i="1"/>
  <c r="U1288" i="1"/>
  <c r="R1288" i="1"/>
  <c r="Q1288" i="1"/>
  <c r="P1288" i="1"/>
  <c r="O1288" i="1"/>
  <c r="N1288" i="1"/>
  <c r="M1288" i="1"/>
  <c r="J1288" i="1"/>
  <c r="I1288" i="1"/>
  <c r="H1288" i="1"/>
  <c r="F1288" i="1"/>
  <c r="D1288" i="1"/>
  <c r="B1288" i="1"/>
  <c r="A1288" i="1"/>
  <c r="U1335" i="1"/>
  <c r="R1335" i="1"/>
  <c r="Q1335" i="1"/>
  <c r="P1335" i="1"/>
  <c r="O1335" i="1"/>
  <c r="N1335" i="1"/>
  <c r="M1335" i="1"/>
  <c r="I1335" i="1"/>
  <c r="H1335" i="1"/>
  <c r="F1335" i="1"/>
  <c r="D1335" i="1"/>
  <c r="B1335" i="1"/>
  <c r="A1335" i="1"/>
  <c r="U1401" i="1"/>
  <c r="R1401" i="1"/>
  <c r="Q1401" i="1"/>
  <c r="P1401" i="1"/>
  <c r="O1401" i="1"/>
  <c r="N1401" i="1"/>
  <c r="M1401" i="1"/>
  <c r="I1401" i="1"/>
  <c r="H1401" i="1"/>
  <c r="F1401" i="1"/>
  <c r="D1401" i="1"/>
  <c r="B1401" i="1"/>
  <c r="A1401" i="1"/>
  <c r="U1449" i="1"/>
  <c r="R1449" i="1"/>
  <c r="Q1449" i="1"/>
  <c r="P1449" i="1"/>
  <c r="O1449" i="1"/>
  <c r="N1449" i="1"/>
  <c r="M1449" i="1"/>
  <c r="J1449" i="1"/>
  <c r="I1449" i="1"/>
  <c r="H1449" i="1"/>
  <c r="F1449" i="1"/>
  <c r="D1449" i="1"/>
  <c r="B1449" i="1"/>
  <c r="A1449" i="1"/>
  <c r="U1391" i="1"/>
  <c r="R1391" i="1"/>
  <c r="Q1391" i="1"/>
  <c r="P1391" i="1"/>
  <c r="O1391" i="1"/>
  <c r="N1391" i="1"/>
  <c r="M1391" i="1"/>
  <c r="I1391" i="1"/>
  <c r="H1391" i="1"/>
  <c r="F1391" i="1"/>
  <c r="D1391" i="1"/>
  <c r="A1391" i="1"/>
  <c r="U1436" i="1"/>
  <c r="R1436" i="1"/>
  <c r="Q1436" i="1"/>
  <c r="P1436" i="1"/>
  <c r="O1436" i="1"/>
  <c r="N1436" i="1"/>
  <c r="M1436" i="1"/>
  <c r="I1436" i="1"/>
  <c r="H1436" i="1"/>
  <c r="F1436" i="1"/>
  <c r="D1436" i="1"/>
  <c r="A1436" i="1"/>
  <c r="U1475" i="1"/>
  <c r="R1475" i="1"/>
  <c r="Q1475" i="1"/>
  <c r="P1475" i="1"/>
  <c r="O1475" i="1"/>
  <c r="N1475" i="1"/>
  <c r="M1475" i="1"/>
  <c r="I1475" i="1"/>
  <c r="H1475" i="1"/>
  <c r="F1475" i="1"/>
  <c r="D1475" i="1"/>
  <c r="B1475" i="1"/>
  <c r="A1475" i="1"/>
  <c r="U1474" i="1"/>
  <c r="R1474" i="1"/>
  <c r="Q1474" i="1"/>
  <c r="P1474" i="1"/>
  <c r="O1474" i="1"/>
  <c r="N1474" i="1"/>
  <c r="M1474" i="1"/>
  <c r="J1474" i="1"/>
  <c r="I1474" i="1"/>
  <c r="H1474" i="1"/>
  <c r="F1474" i="1"/>
  <c r="D1474" i="1"/>
  <c r="B1474" i="1"/>
  <c r="A1474" i="1"/>
  <c r="U1510" i="1"/>
  <c r="R1510" i="1"/>
  <c r="Q1510" i="1"/>
  <c r="P1510" i="1"/>
  <c r="O1510" i="1"/>
  <c r="N1510" i="1"/>
  <c r="M1510" i="1"/>
  <c r="J1510" i="1"/>
  <c r="I1510" i="1"/>
  <c r="H1510" i="1"/>
  <c r="F1510" i="1"/>
  <c r="D1510" i="1"/>
  <c r="B1510" i="1"/>
  <c r="A1510" i="1"/>
  <c r="U1543" i="1"/>
  <c r="R1543" i="1"/>
  <c r="Q1543" i="1"/>
  <c r="P1543" i="1"/>
  <c r="O1543" i="1"/>
  <c r="N1543" i="1"/>
  <c r="M1543" i="1"/>
  <c r="I1543" i="1"/>
  <c r="H1543" i="1"/>
  <c r="F1543" i="1"/>
  <c r="D1543" i="1"/>
  <c r="B1543" i="1"/>
  <c r="A1543" i="1"/>
  <c r="U1594" i="1"/>
  <c r="R1594" i="1"/>
  <c r="Q1594" i="1"/>
  <c r="P1594" i="1"/>
  <c r="O1594" i="1"/>
  <c r="N1594" i="1"/>
  <c r="M1594" i="1"/>
  <c r="J1594" i="1"/>
  <c r="I1594" i="1"/>
  <c r="H1594" i="1"/>
  <c r="F1594" i="1"/>
  <c r="D1594" i="1"/>
  <c r="B1594" i="1"/>
  <c r="A1594" i="1"/>
  <c r="U1603" i="1"/>
  <c r="R1603" i="1"/>
  <c r="Q1603" i="1"/>
  <c r="P1603" i="1"/>
  <c r="O1603" i="1"/>
  <c r="N1603" i="1"/>
  <c r="M1603" i="1"/>
  <c r="I1603" i="1"/>
  <c r="H1603" i="1"/>
  <c r="G1603" i="1"/>
  <c r="F1603" i="1"/>
  <c r="D1603" i="1"/>
  <c r="B1603" i="1"/>
  <c r="A1603" i="1"/>
  <c r="U1617" i="1"/>
  <c r="R1617" i="1"/>
  <c r="Q1617" i="1"/>
  <c r="P1617" i="1"/>
  <c r="O1617" i="1"/>
  <c r="N1617" i="1"/>
  <c r="M1617" i="1"/>
  <c r="J1617" i="1"/>
  <c r="I1617" i="1"/>
  <c r="H1617" i="1"/>
  <c r="F1617" i="1"/>
  <c r="D1617" i="1"/>
  <c r="B1617" i="1"/>
  <c r="A1617" i="1"/>
  <c r="U1616" i="1"/>
  <c r="R1616" i="1"/>
  <c r="Q1616" i="1"/>
  <c r="P1616" i="1"/>
  <c r="O1616" i="1"/>
  <c r="N1616" i="1"/>
  <c r="M1616" i="1"/>
  <c r="J1616" i="1"/>
  <c r="I1616" i="1"/>
  <c r="H1616" i="1"/>
  <c r="F1616" i="1"/>
  <c r="D1616" i="1"/>
  <c r="B1616" i="1"/>
  <c r="A1616" i="1"/>
  <c r="U1624" i="1"/>
  <c r="R1624" i="1"/>
  <c r="Q1624" i="1"/>
  <c r="P1624" i="1"/>
  <c r="O1624" i="1"/>
  <c r="N1624" i="1"/>
  <c r="M1624" i="1"/>
  <c r="I1624" i="1"/>
  <c r="H1624" i="1"/>
  <c r="F1624" i="1"/>
  <c r="D1624" i="1"/>
  <c r="B1624" i="1"/>
  <c r="A1624" i="1"/>
  <c r="U1720" i="1"/>
  <c r="R1720" i="1"/>
  <c r="Q1720" i="1"/>
  <c r="P1720" i="1"/>
  <c r="O1720" i="1"/>
  <c r="N1720" i="1"/>
  <c r="M1720" i="1"/>
  <c r="J1720" i="1"/>
  <c r="I1720" i="1"/>
  <c r="H1720" i="1"/>
  <c r="F1720" i="1"/>
  <c r="D1720" i="1"/>
  <c r="B1720" i="1"/>
  <c r="A1720" i="1"/>
  <c r="U1719" i="1"/>
  <c r="R1719" i="1"/>
  <c r="Q1719" i="1"/>
  <c r="P1719" i="1"/>
  <c r="O1719" i="1"/>
  <c r="N1719" i="1"/>
  <c r="M1719" i="1"/>
  <c r="J1719" i="1"/>
  <c r="I1719" i="1"/>
  <c r="H1719" i="1"/>
  <c r="F1719" i="1"/>
  <c r="D1719" i="1"/>
  <c r="B1719" i="1"/>
  <c r="A1719" i="1"/>
  <c r="U1718" i="1"/>
  <c r="R1718" i="1"/>
  <c r="Q1718" i="1"/>
  <c r="P1718" i="1"/>
  <c r="O1718" i="1"/>
  <c r="N1718" i="1"/>
  <c r="M1718" i="1"/>
  <c r="J1718" i="1"/>
  <c r="I1718" i="1"/>
  <c r="H1718" i="1"/>
  <c r="F1718" i="1"/>
  <c r="E1718" i="1"/>
  <c r="D1718" i="1"/>
  <c r="B1718" i="1"/>
  <c r="A1718" i="1"/>
  <c r="U1717" i="1"/>
  <c r="R1717" i="1"/>
  <c r="Q1717" i="1"/>
  <c r="P1717" i="1"/>
  <c r="O1717" i="1"/>
  <c r="N1717" i="1"/>
  <c r="M1717" i="1"/>
  <c r="J1717" i="1"/>
  <c r="I1717" i="1"/>
  <c r="H1717" i="1"/>
  <c r="F1717" i="1"/>
  <c r="D1717" i="1"/>
  <c r="B1717" i="1"/>
  <c r="A1717" i="1"/>
  <c r="U1716" i="1"/>
  <c r="R1716" i="1"/>
  <c r="Q1716" i="1"/>
  <c r="P1716" i="1"/>
  <c r="O1716" i="1"/>
  <c r="N1716" i="1"/>
  <c r="M1716" i="1"/>
  <c r="J1716" i="1"/>
  <c r="I1716" i="1"/>
  <c r="H1716" i="1"/>
  <c r="F1716" i="1"/>
  <c r="D1716" i="1"/>
  <c r="B1716" i="1"/>
  <c r="A1716" i="1"/>
  <c r="U1715" i="1"/>
  <c r="R1715" i="1"/>
  <c r="Q1715" i="1"/>
  <c r="P1715" i="1"/>
  <c r="O1715" i="1"/>
  <c r="N1715" i="1"/>
  <c r="M1715" i="1"/>
  <c r="J1715" i="1"/>
  <c r="I1715" i="1"/>
  <c r="H1715" i="1"/>
  <c r="F1715" i="1"/>
  <c r="D1715" i="1"/>
  <c r="B1715" i="1"/>
  <c r="A1715" i="1"/>
  <c r="U1827" i="1"/>
  <c r="R1827" i="1"/>
  <c r="Q1827" i="1"/>
  <c r="P1827" i="1"/>
  <c r="O1827" i="1"/>
  <c r="N1827" i="1"/>
  <c r="M1827" i="1"/>
  <c r="J1827" i="1"/>
  <c r="I1827" i="1"/>
  <c r="H1827" i="1"/>
  <c r="F1827" i="1"/>
  <c r="D1827" i="1"/>
  <c r="B1827" i="1"/>
  <c r="A1827" i="1"/>
  <c r="U1863" i="1"/>
  <c r="R1863" i="1"/>
  <c r="Q1863" i="1"/>
  <c r="P1863" i="1"/>
  <c r="O1863" i="1"/>
  <c r="N1863" i="1"/>
  <c r="M1863" i="1"/>
  <c r="J1863" i="1"/>
  <c r="I1863" i="1"/>
  <c r="H1863" i="1"/>
  <c r="F1863" i="1"/>
  <c r="D1863" i="1"/>
  <c r="B1863" i="1"/>
  <c r="A1863" i="1"/>
  <c r="U1967" i="1"/>
  <c r="R1967" i="1"/>
  <c r="Q1967" i="1"/>
  <c r="P1967" i="1"/>
  <c r="O1967" i="1"/>
  <c r="N1967" i="1"/>
  <c r="M1967" i="1"/>
  <c r="J1967" i="1"/>
  <c r="I1967" i="1"/>
  <c r="H1967" i="1"/>
  <c r="F1967" i="1"/>
  <c r="E1967" i="1"/>
  <c r="D1967" i="1"/>
  <c r="A1967" i="1"/>
  <c r="U1986" i="1"/>
  <c r="R1986" i="1"/>
  <c r="Q1986" i="1"/>
  <c r="P1986" i="1"/>
  <c r="O1986" i="1"/>
  <c r="N1986" i="1"/>
  <c r="M1986" i="1"/>
  <c r="J1986" i="1"/>
  <c r="I1986" i="1"/>
  <c r="H1986" i="1"/>
  <c r="F1986" i="1"/>
  <c r="D1986" i="1"/>
  <c r="A1986" i="1"/>
  <c r="U2064" i="1"/>
  <c r="R2064" i="1"/>
  <c r="Q2064" i="1"/>
  <c r="P2064" i="1"/>
  <c r="O2064" i="1"/>
  <c r="N2064" i="1"/>
  <c r="M2064" i="1"/>
  <c r="K2064" i="1"/>
  <c r="J2064" i="1"/>
  <c r="I2064" i="1"/>
  <c r="H2064" i="1"/>
  <c r="F2064" i="1"/>
  <c r="D2064" i="1"/>
  <c r="B2064" i="1"/>
  <c r="A2064" i="1"/>
  <c r="U2099" i="1"/>
  <c r="R2099" i="1"/>
  <c r="Q2099" i="1"/>
  <c r="P2099" i="1"/>
  <c r="O2099" i="1"/>
  <c r="N2099" i="1"/>
  <c r="M2099" i="1"/>
  <c r="J2099" i="1"/>
  <c r="I2099" i="1"/>
  <c r="H2099" i="1"/>
  <c r="F2099" i="1"/>
  <c r="D2099" i="1"/>
  <c r="A2099" i="1"/>
  <c r="U2103" i="1"/>
  <c r="R2103" i="1"/>
  <c r="Q2103" i="1"/>
  <c r="P2103" i="1"/>
  <c r="O2103" i="1"/>
  <c r="N2103" i="1"/>
  <c r="M2103" i="1"/>
  <c r="J2103" i="1"/>
  <c r="I2103" i="1"/>
  <c r="H2103" i="1"/>
  <c r="F2103" i="1"/>
  <c r="E2103" i="1"/>
  <c r="D2103" i="1"/>
  <c r="B2103" i="1"/>
  <c r="A2103" i="1"/>
  <c r="U2136" i="1"/>
  <c r="R2136" i="1"/>
  <c r="Q2136" i="1"/>
  <c r="P2136" i="1"/>
  <c r="O2136" i="1"/>
  <c r="N2136" i="1"/>
  <c r="M2136" i="1"/>
  <c r="J2136" i="1"/>
  <c r="I2136" i="1"/>
  <c r="H2136" i="1"/>
  <c r="F2136" i="1"/>
  <c r="E2136" i="1"/>
  <c r="D2136" i="1"/>
  <c r="B2136" i="1"/>
  <c r="A2136" i="1"/>
  <c r="U2204" i="1"/>
  <c r="R2204" i="1"/>
  <c r="Q2204" i="1"/>
  <c r="P2204" i="1"/>
  <c r="O2204" i="1"/>
  <c r="N2204" i="1"/>
  <c r="M2204" i="1"/>
  <c r="J2204" i="1"/>
  <c r="I2204" i="1"/>
  <c r="H2204" i="1"/>
  <c r="F2204" i="1"/>
  <c r="D2204" i="1"/>
  <c r="B2204" i="1"/>
  <c r="A2204" i="1"/>
  <c r="U2410" i="1"/>
  <c r="R2410" i="1"/>
  <c r="Q2410" i="1"/>
  <c r="P2410" i="1"/>
  <c r="O2410" i="1"/>
  <c r="N2410" i="1"/>
  <c r="M2410" i="1"/>
  <c r="J2410" i="1"/>
  <c r="I2410" i="1"/>
  <c r="H2410" i="1"/>
  <c r="F2410" i="1"/>
  <c r="E2410" i="1"/>
  <c r="D2410" i="1"/>
  <c r="B2410" i="1"/>
  <c r="A2410" i="1"/>
  <c r="U2482" i="1"/>
  <c r="R2482" i="1"/>
  <c r="Q2482" i="1"/>
  <c r="P2482" i="1"/>
  <c r="O2482" i="1"/>
  <c r="N2482" i="1"/>
  <c r="M2482" i="1"/>
  <c r="K2482" i="1"/>
  <c r="J2482" i="1"/>
  <c r="I2482" i="1"/>
  <c r="H2482" i="1"/>
  <c r="F2482" i="1"/>
  <c r="D2482" i="1"/>
  <c r="B2482" i="1"/>
  <c r="A2482" i="1"/>
  <c r="U2379" i="1"/>
  <c r="R2379" i="1"/>
  <c r="Q2379" i="1"/>
  <c r="P2379" i="1"/>
  <c r="O2379" i="1"/>
  <c r="N2379" i="1"/>
  <c r="M2379" i="1"/>
  <c r="J2379" i="1"/>
  <c r="I2379" i="1"/>
  <c r="H2379" i="1"/>
  <c r="F2379" i="1"/>
  <c r="D2379" i="1"/>
  <c r="B2379" i="1"/>
  <c r="A2379" i="1"/>
  <c r="U2394" i="1"/>
  <c r="R2394" i="1"/>
  <c r="Q2394" i="1"/>
  <c r="P2394" i="1"/>
  <c r="O2394" i="1"/>
  <c r="N2394" i="1"/>
  <c r="M2394" i="1"/>
  <c r="K2394" i="1"/>
  <c r="J2394" i="1"/>
  <c r="I2394" i="1"/>
  <c r="H2394" i="1"/>
  <c r="F2394" i="1"/>
  <c r="D2394" i="1"/>
  <c r="B2394" i="1"/>
  <c r="A2394" i="1"/>
  <c r="U2590" i="1"/>
  <c r="R2590" i="1"/>
  <c r="Q2590" i="1"/>
  <c r="P2590" i="1"/>
  <c r="O2590" i="1"/>
  <c r="N2590" i="1"/>
  <c r="M2590" i="1"/>
  <c r="K2590" i="1"/>
  <c r="J2590" i="1"/>
  <c r="I2590" i="1"/>
  <c r="H2590" i="1"/>
  <c r="F2590" i="1"/>
  <c r="D2590" i="1"/>
  <c r="B2590" i="1"/>
  <c r="A2590" i="1"/>
  <c r="U2233" i="1"/>
  <c r="R2233" i="1"/>
  <c r="Q2233" i="1"/>
  <c r="P2233" i="1"/>
  <c r="O2233" i="1"/>
  <c r="N2233" i="1"/>
  <c r="M2233" i="1"/>
  <c r="K2233" i="1"/>
  <c r="J2233" i="1"/>
  <c r="I2233" i="1"/>
  <c r="H2233" i="1"/>
  <c r="F2233" i="1"/>
  <c r="D2233" i="1"/>
  <c r="A2233" i="1"/>
  <c r="U2951" i="1"/>
  <c r="R2951" i="1"/>
  <c r="Q2951" i="1"/>
  <c r="P2951" i="1"/>
  <c r="O2951" i="1"/>
  <c r="N2951" i="1"/>
  <c r="M2951" i="1"/>
  <c r="K2951" i="1"/>
  <c r="J2951" i="1"/>
  <c r="I2951" i="1"/>
  <c r="H2951" i="1"/>
  <c r="F2951" i="1"/>
  <c r="D2951" i="1"/>
  <c r="B2951" i="1"/>
  <c r="A2951" i="1"/>
  <c r="U3136" i="1"/>
  <c r="R3136" i="1"/>
  <c r="Q3136" i="1"/>
  <c r="P3136" i="1"/>
  <c r="O3136" i="1"/>
  <c r="N3136" i="1"/>
  <c r="M3136" i="1"/>
  <c r="K3136" i="1"/>
  <c r="J3136" i="1"/>
  <c r="I3136" i="1"/>
  <c r="H3136" i="1"/>
  <c r="F3136" i="1"/>
  <c r="E3136" i="1"/>
  <c r="D3136" i="1"/>
  <c r="B3136" i="1"/>
  <c r="A3136" i="1"/>
  <c r="U3123" i="1"/>
  <c r="R3123" i="1"/>
  <c r="Q3123" i="1"/>
  <c r="P3123" i="1"/>
  <c r="O3123" i="1"/>
  <c r="N3123" i="1"/>
  <c r="M3123" i="1"/>
  <c r="K3123" i="1"/>
  <c r="J3123" i="1"/>
  <c r="I3123" i="1"/>
  <c r="H3123" i="1"/>
  <c r="F3123" i="1"/>
  <c r="E3123" i="1"/>
  <c r="D3123" i="1"/>
  <c r="B3123" i="1"/>
  <c r="A3123" i="1"/>
  <c r="U2727" i="1"/>
  <c r="R2727" i="1"/>
  <c r="Q2727" i="1"/>
  <c r="P2727" i="1"/>
  <c r="O2727" i="1"/>
  <c r="N2727" i="1"/>
  <c r="M2727" i="1"/>
  <c r="J2727" i="1"/>
  <c r="I2727" i="1"/>
  <c r="H2727" i="1"/>
  <c r="F2727" i="1"/>
  <c r="D2727" i="1"/>
  <c r="B2727" i="1"/>
  <c r="A2727" i="1"/>
  <c r="U2966" i="1"/>
  <c r="R2966" i="1"/>
  <c r="Q2966" i="1"/>
  <c r="P2966" i="1"/>
  <c r="O2966" i="1"/>
  <c r="N2966" i="1"/>
  <c r="M2966" i="1"/>
  <c r="J2966" i="1"/>
  <c r="I2966" i="1"/>
  <c r="H2966" i="1"/>
  <c r="F2966" i="1"/>
  <c r="D2966" i="1"/>
  <c r="B2966" i="1"/>
  <c r="A2966" i="1"/>
  <c r="U57" i="1"/>
  <c r="R57" i="1"/>
  <c r="Q57" i="1"/>
  <c r="P57" i="1"/>
  <c r="O57" i="1"/>
  <c r="N57" i="1"/>
  <c r="M57" i="1"/>
  <c r="I57" i="1"/>
  <c r="H57" i="1"/>
  <c r="F57" i="1"/>
  <c r="D57" i="1"/>
  <c r="B57" i="1"/>
  <c r="A57" i="1"/>
  <c r="U43" i="1"/>
  <c r="R43" i="1"/>
  <c r="Q43" i="1"/>
  <c r="P43" i="1"/>
  <c r="O43" i="1"/>
  <c r="N43" i="1"/>
  <c r="M43" i="1"/>
  <c r="I43" i="1"/>
  <c r="H43" i="1"/>
  <c r="F43" i="1"/>
  <c r="D43" i="1"/>
  <c r="B43" i="1"/>
  <c r="A43" i="1"/>
  <c r="U309" i="1"/>
  <c r="R309" i="1"/>
  <c r="Q309" i="1"/>
  <c r="P309" i="1"/>
  <c r="O309" i="1"/>
  <c r="N309" i="1"/>
  <c r="M309" i="1"/>
  <c r="I309" i="1"/>
  <c r="H309" i="1"/>
  <c r="F309" i="1"/>
  <c r="D309" i="1"/>
  <c r="B309" i="1"/>
  <c r="A309" i="1"/>
  <c r="U1232" i="1"/>
  <c r="R1232" i="1"/>
  <c r="Q1232" i="1"/>
  <c r="P1232" i="1"/>
  <c r="O1232" i="1"/>
  <c r="N1232" i="1"/>
  <c r="M1232" i="1"/>
  <c r="I1232" i="1"/>
  <c r="H1232" i="1"/>
  <c r="F1232" i="1"/>
  <c r="D1232" i="1"/>
  <c r="B1232" i="1"/>
  <c r="A1232" i="1"/>
  <c r="U1665" i="1"/>
  <c r="R1665" i="1"/>
  <c r="Q1665" i="1"/>
  <c r="P1665" i="1"/>
  <c r="O1665" i="1"/>
  <c r="N1665" i="1"/>
  <c r="M1665" i="1"/>
  <c r="I1665" i="1"/>
  <c r="H1665" i="1"/>
  <c r="F1665" i="1"/>
  <c r="D1665" i="1"/>
  <c r="A1665" i="1"/>
  <c r="U2908" i="1"/>
  <c r="R2908" i="1"/>
  <c r="Q2908" i="1"/>
  <c r="P2908" i="1"/>
  <c r="O2908" i="1"/>
  <c r="N2908" i="1"/>
  <c r="M2908" i="1"/>
  <c r="K2908" i="1"/>
  <c r="J2908" i="1"/>
  <c r="I2908" i="1"/>
  <c r="H2908" i="1"/>
  <c r="F2908" i="1"/>
  <c r="D2908" i="1"/>
  <c r="B2908" i="1"/>
  <c r="A2908" i="1"/>
  <c r="U2520" i="1"/>
  <c r="R2520" i="1"/>
  <c r="Q2520" i="1"/>
  <c r="P2520" i="1"/>
  <c r="O2520" i="1"/>
  <c r="N2520" i="1"/>
  <c r="M2520" i="1"/>
  <c r="J2520" i="1"/>
  <c r="I2520" i="1"/>
  <c r="H2520" i="1"/>
  <c r="F2520" i="1"/>
  <c r="D2520" i="1"/>
  <c r="B2520" i="1"/>
  <c r="A2520" i="1"/>
  <c r="U187" i="1"/>
  <c r="R187" i="1"/>
  <c r="Q187" i="1"/>
  <c r="P187" i="1"/>
  <c r="O187" i="1"/>
  <c r="N187" i="1"/>
  <c r="M187" i="1"/>
  <c r="J187" i="1"/>
  <c r="I187" i="1"/>
  <c r="H187" i="1"/>
  <c r="F187" i="1"/>
  <c r="D187" i="1"/>
  <c r="B187" i="1"/>
  <c r="A187" i="1"/>
  <c r="U410" i="1"/>
  <c r="R410" i="1"/>
  <c r="Q410" i="1"/>
  <c r="P410" i="1"/>
  <c r="O410" i="1"/>
  <c r="N410" i="1"/>
  <c r="M410" i="1"/>
  <c r="J410" i="1"/>
  <c r="I410" i="1"/>
  <c r="H410" i="1"/>
  <c r="F410" i="1"/>
  <c r="D410" i="1"/>
  <c r="B410" i="1"/>
  <c r="A410" i="1"/>
  <c r="U364" i="1"/>
  <c r="R364" i="1"/>
  <c r="Q364" i="1"/>
  <c r="P364" i="1"/>
  <c r="O364" i="1"/>
  <c r="N364" i="1"/>
  <c r="M364" i="1"/>
  <c r="J364" i="1"/>
  <c r="I364" i="1"/>
  <c r="H364" i="1"/>
  <c r="F364" i="1"/>
  <c r="D364" i="1"/>
  <c r="B364" i="1"/>
  <c r="A364" i="1"/>
  <c r="U439" i="1"/>
  <c r="R439" i="1"/>
  <c r="Q439" i="1"/>
  <c r="P439" i="1"/>
  <c r="O439" i="1"/>
  <c r="N439" i="1"/>
  <c r="M439" i="1"/>
  <c r="J439" i="1"/>
  <c r="I439" i="1"/>
  <c r="H439" i="1"/>
  <c r="F439" i="1"/>
  <c r="D439" i="1"/>
  <c r="B439" i="1"/>
  <c r="A439" i="1"/>
  <c r="U491" i="1"/>
  <c r="R491" i="1"/>
  <c r="Q491" i="1"/>
  <c r="P491" i="1"/>
  <c r="O491" i="1"/>
  <c r="N491" i="1"/>
  <c r="M491" i="1"/>
  <c r="J491" i="1"/>
  <c r="I491" i="1"/>
  <c r="H491" i="1"/>
  <c r="F491" i="1"/>
  <c r="E491" i="1"/>
  <c r="D491" i="1"/>
  <c r="B491" i="1"/>
  <c r="A491" i="1"/>
  <c r="U537" i="1"/>
  <c r="R537" i="1"/>
  <c r="Q537" i="1"/>
  <c r="P537" i="1"/>
  <c r="O537" i="1"/>
  <c r="N537" i="1"/>
  <c r="M537" i="1"/>
  <c r="J537" i="1"/>
  <c r="I537" i="1"/>
  <c r="H537" i="1"/>
  <c r="F537" i="1"/>
  <c r="D537" i="1"/>
  <c r="B537" i="1"/>
  <c r="A537" i="1"/>
  <c r="U582" i="1"/>
  <c r="R582" i="1"/>
  <c r="Q582" i="1"/>
  <c r="P582" i="1"/>
  <c r="O582" i="1"/>
  <c r="N582" i="1"/>
  <c r="M582" i="1"/>
  <c r="J582" i="1"/>
  <c r="I582" i="1"/>
  <c r="H582" i="1"/>
  <c r="F582" i="1"/>
  <c r="D582" i="1"/>
  <c r="B582" i="1"/>
  <c r="A582" i="1"/>
  <c r="U637" i="1"/>
  <c r="R637" i="1"/>
  <c r="Q637" i="1"/>
  <c r="P637" i="1"/>
  <c r="O637" i="1"/>
  <c r="N637" i="1"/>
  <c r="M637" i="1"/>
  <c r="J637" i="1"/>
  <c r="I637" i="1"/>
  <c r="H637" i="1"/>
  <c r="F637" i="1"/>
  <c r="D637" i="1"/>
  <c r="B637" i="1"/>
  <c r="A637" i="1"/>
  <c r="U715" i="1"/>
  <c r="R715" i="1"/>
  <c r="Q715" i="1"/>
  <c r="P715" i="1"/>
  <c r="O715" i="1"/>
  <c r="N715" i="1"/>
  <c r="M715" i="1"/>
  <c r="J715" i="1"/>
  <c r="I715" i="1"/>
  <c r="H715" i="1"/>
  <c r="F715" i="1"/>
  <c r="E715" i="1"/>
  <c r="D715" i="1"/>
  <c r="B715" i="1"/>
  <c r="A715" i="1"/>
  <c r="U781" i="1"/>
  <c r="R781" i="1"/>
  <c r="Q781" i="1"/>
  <c r="P781" i="1"/>
  <c r="O781" i="1"/>
  <c r="N781" i="1"/>
  <c r="M781" i="1"/>
  <c r="J781" i="1"/>
  <c r="I781" i="1"/>
  <c r="H781" i="1"/>
  <c r="G781" i="1"/>
  <c r="F781" i="1"/>
  <c r="D781" i="1"/>
  <c r="B781" i="1"/>
  <c r="A781" i="1"/>
  <c r="U880" i="1"/>
  <c r="R880" i="1"/>
  <c r="Q880" i="1"/>
  <c r="P880" i="1"/>
  <c r="O880" i="1"/>
  <c r="N880" i="1"/>
  <c r="M880" i="1"/>
  <c r="J880" i="1"/>
  <c r="I880" i="1"/>
  <c r="H880" i="1"/>
  <c r="F880" i="1"/>
  <c r="D880" i="1"/>
  <c r="B880" i="1"/>
  <c r="A880" i="1"/>
  <c r="U879" i="1"/>
  <c r="R879" i="1"/>
  <c r="Q879" i="1"/>
  <c r="P879" i="1"/>
  <c r="O879" i="1"/>
  <c r="N879" i="1"/>
  <c r="M879" i="1"/>
  <c r="J879" i="1"/>
  <c r="I879" i="1"/>
  <c r="H879" i="1"/>
  <c r="F879" i="1"/>
  <c r="D879" i="1"/>
  <c r="B879" i="1"/>
  <c r="A879" i="1"/>
  <c r="U899" i="1"/>
  <c r="R899" i="1"/>
  <c r="Q899" i="1"/>
  <c r="P899" i="1"/>
  <c r="O899" i="1"/>
  <c r="N899" i="1"/>
  <c r="M899" i="1"/>
  <c r="J899" i="1"/>
  <c r="I899" i="1"/>
  <c r="H899" i="1"/>
  <c r="F899" i="1"/>
  <c r="D899" i="1"/>
  <c r="B899" i="1"/>
  <c r="A899" i="1"/>
  <c r="U1208" i="1"/>
  <c r="R1208" i="1"/>
  <c r="Q1208" i="1"/>
  <c r="P1208" i="1"/>
  <c r="O1208" i="1"/>
  <c r="N1208" i="1"/>
  <c r="M1208" i="1"/>
  <c r="J1208" i="1"/>
  <c r="I1208" i="1"/>
  <c r="H1208" i="1"/>
  <c r="F1208" i="1"/>
  <c r="D1208" i="1"/>
  <c r="B1208" i="1"/>
  <c r="A1208" i="1"/>
  <c r="U1286" i="1"/>
  <c r="R1286" i="1"/>
  <c r="Q1286" i="1"/>
  <c r="P1286" i="1"/>
  <c r="O1286" i="1"/>
  <c r="N1286" i="1"/>
  <c r="M1286" i="1"/>
  <c r="K1286" i="1"/>
  <c r="J1286" i="1"/>
  <c r="I1286" i="1"/>
  <c r="H1286" i="1"/>
  <c r="F1286" i="1"/>
  <c r="E1286" i="1"/>
  <c r="D1286" i="1"/>
  <c r="B1286" i="1"/>
  <c r="A1286" i="1"/>
  <c r="U1346" i="1"/>
  <c r="R1346" i="1"/>
  <c r="Q1346" i="1"/>
  <c r="P1346" i="1"/>
  <c r="O1346" i="1"/>
  <c r="N1346" i="1"/>
  <c r="M1346" i="1"/>
  <c r="J1346" i="1"/>
  <c r="I1346" i="1"/>
  <c r="H1346" i="1"/>
  <c r="F1346" i="1"/>
  <c r="D1346" i="1"/>
  <c r="B1346" i="1"/>
  <c r="A1346" i="1"/>
  <c r="U1638" i="1"/>
  <c r="R1638" i="1"/>
  <c r="Q1638" i="1"/>
  <c r="P1638" i="1"/>
  <c r="O1638" i="1"/>
  <c r="N1638" i="1"/>
  <c r="M1638" i="1"/>
  <c r="K1638" i="1"/>
  <c r="J1638" i="1"/>
  <c r="I1638" i="1"/>
  <c r="H1638" i="1"/>
  <c r="F1638" i="1"/>
  <c r="D1638" i="1"/>
  <c r="B1638" i="1"/>
  <c r="A1638" i="1"/>
  <c r="U1757" i="1"/>
  <c r="R1757" i="1"/>
  <c r="Q1757" i="1"/>
  <c r="P1757" i="1"/>
  <c r="O1757" i="1"/>
  <c r="N1757" i="1"/>
  <c r="M1757" i="1"/>
  <c r="J1757" i="1"/>
  <c r="I1757" i="1"/>
  <c r="H1757" i="1"/>
  <c r="F1757" i="1"/>
  <c r="D1757" i="1"/>
  <c r="B1757" i="1"/>
  <c r="A1757" i="1"/>
  <c r="U2189" i="1"/>
  <c r="R2189" i="1"/>
  <c r="Q2189" i="1"/>
  <c r="P2189" i="1"/>
  <c r="O2189" i="1"/>
  <c r="N2189" i="1"/>
  <c r="M2189" i="1"/>
  <c r="K2189" i="1"/>
  <c r="J2189" i="1"/>
  <c r="I2189" i="1"/>
  <c r="H2189" i="1"/>
  <c r="F2189" i="1"/>
  <c r="D2189" i="1"/>
  <c r="B2189" i="1"/>
  <c r="A2189" i="1"/>
  <c r="U2330" i="1"/>
  <c r="R2330" i="1"/>
  <c r="Q2330" i="1"/>
  <c r="P2330" i="1"/>
  <c r="O2330" i="1"/>
  <c r="N2330" i="1"/>
  <c r="M2330" i="1"/>
  <c r="J2330" i="1"/>
  <c r="I2330" i="1"/>
  <c r="H2330" i="1"/>
  <c r="F2330" i="1"/>
  <c r="D2330" i="1"/>
  <c r="B2330" i="1"/>
  <c r="A2330" i="1"/>
  <c r="U2874" i="1"/>
  <c r="R2874" i="1"/>
  <c r="Q2874" i="1"/>
  <c r="P2874" i="1"/>
  <c r="O2874" i="1"/>
  <c r="N2874" i="1"/>
  <c r="M2874" i="1"/>
  <c r="J2874" i="1"/>
  <c r="I2874" i="1"/>
  <c r="H2874" i="1"/>
  <c r="F2874" i="1"/>
  <c r="D2874" i="1"/>
  <c r="B2874" i="1"/>
  <c r="A2874" i="1"/>
  <c r="U2257" i="1"/>
  <c r="R2257" i="1"/>
  <c r="Q2257" i="1"/>
  <c r="P2257" i="1"/>
  <c r="O2257" i="1"/>
  <c r="N2257" i="1"/>
  <c r="M2257" i="1"/>
  <c r="J2257" i="1"/>
  <c r="I2257" i="1"/>
  <c r="H2257" i="1"/>
  <c r="F2257" i="1"/>
  <c r="D2257" i="1"/>
  <c r="B2257" i="1"/>
  <c r="A2257" i="1"/>
  <c r="U2256" i="1"/>
  <c r="R2256" i="1"/>
  <c r="Q2256" i="1"/>
  <c r="P2256" i="1"/>
  <c r="O2256" i="1"/>
  <c r="N2256" i="1"/>
  <c r="M2256" i="1"/>
  <c r="K2256" i="1"/>
  <c r="J2256" i="1"/>
  <c r="I2256" i="1"/>
  <c r="H2256" i="1"/>
  <c r="F2256" i="1"/>
  <c r="D2256" i="1"/>
  <c r="B2256" i="1"/>
  <c r="A2256" i="1"/>
  <c r="U2259" i="1"/>
  <c r="R2259" i="1"/>
  <c r="Q2259" i="1"/>
  <c r="P2259" i="1"/>
  <c r="O2259" i="1"/>
  <c r="N2259" i="1"/>
  <c r="M2259" i="1"/>
  <c r="J2259" i="1"/>
  <c r="I2259" i="1"/>
  <c r="H2259" i="1"/>
  <c r="F2259" i="1"/>
  <c r="E2259" i="1"/>
  <c r="D2259" i="1"/>
  <c r="B2259" i="1"/>
  <c r="A2259" i="1"/>
  <c r="U2258" i="1"/>
  <c r="R2258" i="1"/>
  <c r="Q2258" i="1"/>
  <c r="P2258" i="1"/>
  <c r="O2258" i="1"/>
  <c r="N2258" i="1"/>
  <c r="M2258" i="1"/>
  <c r="J2258" i="1"/>
  <c r="I2258" i="1"/>
  <c r="H2258" i="1"/>
  <c r="F2258" i="1"/>
  <c r="E2258" i="1"/>
  <c r="D2258" i="1"/>
  <c r="B2258" i="1"/>
  <c r="A2258" i="1"/>
  <c r="U2481" i="1"/>
  <c r="R2481" i="1"/>
  <c r="Q2481" i="1"/>
  <c r="P2481" i="1"/>
  <c r="O2481" i="1"/>
  <c r="N2481" i="1"/>
  <c r="M2481" i="1"/>
  <c r="K2481" i="1"/>
  <c r="J2481" i="1"/>
  <c r="I2481" i="1"/>
  <c r="H2481" i="1"/>
  <c r="F2481" i="1"/>
  <c r="E2481" i="1"/>
  <c r="D2481" i="1"/>
  <c r="B2481" i="1"/>
  <c r="A2481" i="1"/>
  <c r="U2281" i="1"/>
  <c r="R2281" i="1"/>
  <c r="Q2281" i="1"/>
  <c r="P2281" i="1"/>
  <c r="O2281" i="1"/>
  <c r="N2281" i="1"/>
  <c r="M2281" i="1"/>
  <c r="J2281" i="1"/>
  <c r="I2281" i="1"/>
  <c r="H2281" i="1"/>
  <c r="F2281" i="1"/>
  <c r="D2281" i="1"/>
  <c r="B2281" i="1"/>
  <c r="A2281" i="1"/>
  <c r="U2280" i="1"/>
  <c r="R2280" i="1"/>
  <c r="Q2280" i="1"/>
  <c r="P2280" i="1"/>
  <c r="O2280" i="1"/>
  <c r="N2280" i="1"/>
  <c r="M2280" i="1"/>
  <c r="J2280" i="1"/>
  <c r="I2280" i="1"/>
  <c r="H2280" i="1"/>
  <c r="F2280" i="1"/>
  <c r="D2280" i="1"/>
  <c r="B2280" i="1"/>
  <c r="A2280" i="1"/>
  <c r="U2670" i="1"/>
  <c r="R2670" i="1"/>
  <c r="Q2670" i="1"/>
  <c r="P2670" i="1"/>
  <c r="O2670" i="1"/>
  <c r="N2670" i="1"/>
  <c r="M2670" i="1"/>
  <c r="K2670" i="1"/>
  <c r="J2670" i="1"/>
  <c r="I2670" i="1"/>
  <c r="H2670" i="1"/>
  <c r="F2670" i="1"/>
  <c r="D2670" i="1"/>
  <c r="B2670" i="1"/>
  <c r="A2670" i="1"/>
  <c r="U3122" i="1"/>
  <c r="R3122" i="1"/>
  <c r="Q3122" i="1"/>
  <c r="P3122" i="1"/>
  <c r="O3122" i="1"/>
  <c r="N3122" i="1"/>
  <c r="M3122" i="1"/>
  <c r="K3122" i="1"/>
  <c r="J3122" i="1"/>
  <c r="I3122" i="1"/>
  <c r="H3122" i="1"/>
  <c r="F3122" i="1"/>
  <c r="D3122" i="1"/>
  <c r="B3122" i="1"/>
  <c r="A3122" i="1"/>
  <c r="U3155" i="1"/>
  <c r="R3155" i="1"/>
  <c r="Q3155" i="1"/>
  <c r="P3155" i="1"/>
  <c r="O3155" i="1"/>
  <c r="N3155" i="1"/>
  <c r="M3155" i="1"/>
  <c r="K3155" i="1"/>
  <c r="J3155" i="1"/>
  <c r="I3155" i="1"/>
  <c r="H3155" i="1"/>
  <c r="F3155" i="1"/>
  <c r="D3155" i="1"/>
  <c r="B3155" i="1"/>
  <c r="A3155" i="1"/>
  <c r="U2589" i="1"/>
  <c r="R2589" i="1"/>
  <c r="Q2589" i="1"/>
  <c r="P2589" i="1"/>
  <c r="O2589" i="1"/>
  <c r="N2589" i="1"/>
  <c r="M2589" i="1"/>
  <c r="K2589" i="1"/>
  <c r="J2589" i="1"/>
  <c r="I2589" i="1"/>
  <c r="H2589" i="1"/>
  <c r="F2589" i="1"/>
  <c r="D2589" i="1"/>
  <c r="B2589" i="1"/>
  <c r="A2589" i="1"/>
  <c r="U2551" i="1"/>
  <c r="R2551" i="1"/>
  <c r="Q2551" i="1"/>
  <c r="P2551" i="1"/>
  <c r="O2551" i="1"/>
  <c r="N2551" i="1"/>
  <c r="M2551" i="1"/>
  <c r="K2551" i="1"/>
  <c r="J2551" i="1"/>
  <c r="I2551" i="1"/>
  <c r="H2551" i="1"/>
  <c r="F2551" i="1"/>
  <c r="D2551" i="1"/>
  <c r="B2551" i="1"/>
  <c r="A2551" i="1"/>
  <c r="U3121" i="1"/>
  <c r="R3121" i="1"/>
  <c r="Q3121" i="1"/>
  <c r="P3121" i="1"/>
  <c r="O3121" i="1"/>
  <c r="N3121" i="1"/>
  <c r="M3121" i="1"/>
  <c r="K3121" i="1"/>
  <c r="J3121" i="1"/>
  <c r="I3121" i="1"/>
  <c r="H3121" i="1"/>
  <c r="F3121" i="1"/>
  <c r="E3121" i="1"/>
  <c r="D3121" i="1"/>
  <c r="B3121" i="1"/>
  <c r="A3121" i="1"/>
  <c r="U1871" i="1"/>
  <c r="R1871" i="1"/>
  <c r="Q1871" i="1"/>
  <c r="P1871" i="1"/>
  <c r="O1871" i="1"/>
  <c r="N1871" i="1"/>
  <c r="M1871" i="1"/>
  <c r="J1871" i="1"/>
  <c r="I1871" i="1"/>
  <c r="H1871" i="1"/>
  <c r="F1871" i="1"/>
  <c r="D1871" i="1"/>
  <c r="B1871" i="1"/>
  <c r="A1871" i="1"/>
  <c r="U2708" i="1"/>
  <c r="R2708" i="1"/>
  <c r="Q2708" i="1"/>
  <c r="P2708" i="1"/>
  <c r="O2708" i="1"/>
  <c r="N2708" i="1"/>
  <c r="M2708" i="1"/>
  <c r="K2708" i="1"/>
  <c r="J2708" i="1"/>
  <c r="I2708" i="1"/>
  <c r="H2708" i="1"/>
  <c r="F2708" i="1"/>
  <c r="D2708" i="1"/>
  <c r="B2708" i="1"/>
  <c r="A2708" i="1"/>
  <c r="U3034" i="1"/>
  <c r="R3034" i="1"/>
  <c r="Q3034" i="1"/>
  <c r="P3034" i="1"/>
  <c r="O3034" i="1"/>
  <c r="N3034" i="1"/>
  <c r="M3034" i="1"/>
  <c r="K3034" i="1"/>
  <c r="J3034" i="1"/>
  <c r="I3034" i="1"/>
  <c r="H3034" i="1"/>
  <c r="F3034" i="1"/>
  <c r="D3034" i="1"/>
  <c r="B3034" i="1"/>
  <c r="A3034" i="1"/>
  <c r="U3036" i="1"/>
  <c r="R3036" i="1"/>
  <c r="Q3036" i="1"/>
  <c r="P3036" i="1"/>
  <c r="O3036" i="1"/>
  <c r="N3036" i="1"/>
  <c r="M3036" i="1"/>
  <c r="J3036" i="1"/>
  <c r="I3036" i="1"/>
  <c r="H3036" i="1"/>
  <c r="F3036" i="1"/>
  <c r="D3036" i="1"/>
  <c r="B3036" i="1"/>
  <c r="A3036" i="1"/>
  <c r="U2114" i="1"/>
  <c r="R2114" i="1"/>
  <c r="Q2114" i="1"/>
  <c r="P2114" i="1"/>
  <c r="O2114" i="1"/>
  <c r="N2114" i="1"/>
  <c r="M2114" i="1"/>
  <c r="K2114" i="1"/>
  <c r="J2114" i="1"/>
  <c r="I2114" i="1"/>
  <c r="H2114" i="1"/>
  <c r="F2114" i="1"/>
  <c r="E2114" i="1"/>
  <c r="D2114" i="1"/>
  <c r="B2114" i="1"/>
  <c r="A2114" i="1"/>
  <c r="U2480" i="1"/>
  <c r="R2480" i="1"/>
  <c r="Q2480" i="1"/>
  <c r="P2480" i="1"/>
  <c r="O2480" i="1"/>
  <c r="N2480" i="1"/>
  <c r="M2480" i="1"/>
  <c r="K2480" i="1"/>
  <c r="J2480" i="1"/>
  <c r="I2480" i="1"/>
  <c r="H2480" i="1"/>
  <c r="F2480" i="1"/>
  <c r="D2480" i="1"/>
  <c r="B2480" i="1"/>
  <c r="A2480" i="1"/>
  <c r="U2434" i="1"/>
  <c r="R2434" i="1"/>
  <c r="Q2434" i="1"/>
  <c r="P2434" i="1"/>
  <c r="O2434" i="1"/>
  <c r="N2434" i="1"/>
  <c r="M2434" i="1"/>
  <c r="J2434" i="1"/>
  <c r="I2434" i="1"/>
  <c r="H2434" i="1"/>
  <c r="F2434" i="1"/>
  <c r="E2434" i="1"/>
  <c r="D2434" i="1"/>
  <c r="B2434" i="1"/>
  <c r="A2434" i="1"/>
  <c r="U2534" i="1"/>
  <c r="R2534" i="1"/>
  <c r="Q2534" i="1"/>
  <c r="P2534" i="1"/>
  <c r="O2534" i="1"/>
  <c r="N2534" i="1"/>
  <c r="M2534" i="1"/>
  <c r="K2534" i="1"/>
  <c r="J2534" i="1"/>
  <c r="I2534" i="1"/>
  <c r="H2534" i="1"/>
  <c r="F2534" i="1"/>
  <c r="D2534" i="1"/>
  <c r="B2534" i="1"/>
  <c r="A2534" i="1"/>
  <c r="U2956" i="1"/>
  <c r="R2956" i="1"/>
  <c r="Q2956" i="1"/>
  <c r="P2956" i="1"/>
  <c r="O2956" i="1"/>
  <c r="N2956" i="1"/>
  <c r="M2956" i="1"/>
  <c r="K2956" i="1"/>
  <c r="J2956" i="1"/>
  <c r="I2956" i="1"/>
  <c r="H2956" i="1"/>
  <c r="F2956" i="1"/>
  <c r="D2956" i="1"/>
  <c r="B2956" i="1"/>
  <c r="A2956" i="1"/>
  <c r="U2654" i="1"/>
  <c r="R2654" i="1"/>
  <c r="Q2654" i="1"/>
  <c r="P2654" i="1"/>
  <c r="O2654" i="1"/>
  <c r="N2654" i="1"/>
  <c r="M2654" i="1"/>
  <c r="K2654" i="1"/>
  <c r="J2654" i="1"/>
  <c r="I2654" i="1"/>
  <c r="H2654" i="1"/>
  <c r="F2654" i="1"/>
  <c r="D2654" i="1"/>
  <c r="B2654" i="1"/>
  <c r="A2654" i="1"/>
  <c r="U2402" i="1"/>
  <c r="R2402" i="1"/>
  <c r="Q2402" i="1"/>
  <c r="P2402" i="1"/>
  <c r="O2402" i="1"/>
  <c r="N2402" i="1"/>
  <c r="M2402" i="1"/>
  <c r="J2402" i="1"/>
  <c r="I2402" i="1"/>
  <c r="H2402" i="1"/>
  <c r="F2402" i="1"/>
  <c r="D2402" i="1"/>
  <c r="B2402" i="1"/>
  <c r="A2402" i="1"/>
  <c r="U2593" i="1"/>
  <c r="R2593" i="1"/>
  <c r="Q2593" i="1"/>
  <c r="P2593" i="1"/>
  <c r="O2593" i="1"/>
  <c r="N2593" i="1"/>
  <c r="M2593" i="1"/>
  <c r="J2593" i="1"/>
  <c r="I2593" i="1"/>
  <c r="H2593" i="1"/>
  <c r="F2593" i="1"/>
  <c r="D2593" i="1"/>
  <c r="B2593" i="1"/>
  <c r="A2593" i="1"/>
  <c r="U305" i="1"/>
  <c r="R305" i="1"/>
  <c r="Q305" i="1"/>
  <c r="P305" i="1"/>
  <c r="O305" i="1"/>
  <c r="N305" i="1"/>
  <c r="M305" i="1"/>
  <c r="K305" i="1"/>
  <c r="J305" i="1"/>
  <c r="I305" i="1"/>
  <c r="H305" i="1"/>
  <c r="G305" i="1"/>
  <c r="F305" i="1"/>
  <c r="D305" i="1"/>
  <c r="B305" i="1"/>
  <c r="A305" i="1"/>
  <c r="U2841" i="1"/>
  <c r="R2841" i="1"/>
  <c r="Q2841" i="1"/>
  <c r="P2841" i="1"/>
  <c r="O2841" i="1"/>
  <c r="N2841" i="1"/>
  <c r="M2841" i="1"/>
  <c r="J2841" i="1"/>
  <c r="I2841" i="1"/>
  <c r="H2841" i="1"/>
  <c r="F2841" i="1"/>
  <c r="D2841" i="1"/>
  <c r="B2841" i="1"/>
  <c r="A2841" i="1"/>
  <c r="U2835" i="1"/>
  <c r="R2835" i="1"/>
  <c r="Q2835" i="1"/>
  <c r="P2835" i="1"/>
  <c r="O2835" i="1"/>
  <c r="N2835" i="1"/>
  <c r="M2835" i="1"/>
  <c r="J2835" i="1"/>
  <c r="I2835" i="1"/>
  <c r="H2835" i="1"/>
  <c r="F2835" i="1"/>
  <c r="D2835" i="1"/>
  <c r="B2835" i="1"/>
  <c r="A2835" i="1"/>
  <c r="U3138" i="1"/>
  <c r="R3138" i="1"/>
  <c r="Q3138" i="1"/>
  <c r="P3138" i="1"/>
  <c r="O3138" i="1"/>
  <c r="N3138" i="1"/>
  <c r="M3138" i="1"/>
  <c r="J3138" i="1"/>
  <c r="I3138" i="1"/>
  <c r="H3138" i="1"/>
  <c r="F3138" i="1"/>
  <c r="D3138" i="1"/>
  <c r="B3138" i="1"/>
  <c r="A3138" i="1"/>
  <c r="U2407" i="1"/>
  <c r="R2407" i="1"/>
  <c r="Q2407" i="1"/>
  <c r="P2407" i="1"/>
  <c r="O2407" i="1"/>
  <c r="N2407" i="1"/>
  <c r="M2407" i="1"/>
  <c r="J2407" i="1"/>
  <c r="I2407" i="1"/>
  <c r="H2407" i="1"/>
  <c r="F2407" i="1"/>
  <c r="D2407" i="1"/>
  <c r="B2407" i="1"/>
  <c r="A2407" i="1"/>
  <c r="U3166" i="1"/>
  <c r="R3166" i="1"/>
  <c r="Q3166" i="1"/>
  <c r="P3166" i="1"/>
  <c r="O3166" i="1"/>
  <c r="N3166" i="1"/>
  <c r="M3166" i="1"/>
  <c r="J3166" i="1"/>
  <c r="I3166" i="1"/>
  <c r="H3166" i="1"/>
  <c r="F3166" i="1"/>
  <c r="D3166" i="1"/>
  <c r="B3166" i="1"/>
  <c r="A3166" i="1"/>
  <c r="U116" i="1"/>
  <c r="R116" i="1"/>
  <c r="Q116" i="1"/>
  <c r="P116" i="1"/>
  <c r="O116" i="1"/>
  <c r="N116" i="1"/>
  <c r="M116" i="1"/>
  <c r="J116" i="1"/>
  <c r="I116" i="1"/>
  <c r="H116" i="1"/>
  <c r="F116" i="1"/>
  <c r="D116" i="1"/>
  <c r="B116" i="1"/>
  <c r="A116" i="1"/>
  <c r="U196" i="1"/>
  <c r="R196" i="1"/>
  <c r="Q196" i="1"/>
  <c r="P196" i="1"/>
  <c r="O196" i="1"/>
  <c r="N196" i="1"/>
  <c r="M196" i="1"/>
  <c r="J196" i="1"/>
  <c r="I196" i="1"/>
  <c r="H196" i="1"/>
  <c r="F196" i="1"/>
  <c r="D196" i="1"/>
  <c r="B196" i="1"/>
  <c r="A196" i="1"/>
  <c r="U271" i="1"/>
  <c r="R271" i="1"/>
  <c r="Q271" i="1"/>
  <c r="P271" i="1"/>
  <c r="O271" i="1"/>
  <c r="N271" i="1"/>
  <c r="M271" i="1"/>
  <c r="J271" i="1"/>
  <c r="I271" i="1"/>
  <c r="H271" i="1"/>
  <c r="F271" i="1"/>
  <c r="D271" i="1"/>
  <c r="A271" i="1"/>
  <c r="U428" i="1"/>
  <c r="R428" i="1"/>
  <c r="Q428" i="1"/>
  <c r="P428" i="1"/>
  <c r="O428" i="1"/>
  <c r="N428" i="1"/>
  <c r="M428" i="1"/>
  <c r="J428" i="1"/>
  <c r="I428" i="1"/>
  <c r="H428" i="1"/>
  <c r="F428" i="1"/>
  <c r="D428" i="1"/>
  <c r="A428" i="1"/>
  <c r="U1083" i="1"/>
  <c r="R1083" i="1"/>
  <c r="Q1083" i="1"/>
  <c r="P1083" i="1"/>
  <c r="O1083" i="1"/>
  <c r="N1083" i="1"/>
  <c r="M1083" i="1"/>
  <c r="J1083" i="1"/>
  <c r="I1083" i="1"/>
  <c r="H1083" i="1"/>
  <c r="F1083" i="1"/>
  <c r="D1083" i="1"/>
  <c r="B1083" i="1"/>
  <c r="A1083" i="1"/>
  <c r="U1157" i="1"/>
  <c r="R1157" i="1"/>
  <c r="Q1157" i="1"/>
  <c r="P1157" i="1"/>
  <c r="O1157" i="1"/>
  <c r="N1157" i="1"/>
  <c r="M1157" i="1"/>
  <c r="I1157" i="1"/>
  <c r="H1157" i="1"/>
  <c r="F1157" i="1"/>
  <c r="D1157" i="1"/>
  <c r="A1157" i="1"/>
  <c r="U1201" i="1"/>
  <c r="R1201" i="1"/>
  <c r="Q1201" i="1"/>
  <c r="P1201" i="1"/>
  <c r="O1201" i="1"/>
  <c r="N1201" i="1"/>
  <c r="M1201" i="1"/>
  <c r="J1201" i="1"/>
  <c r="I1201" i="1"/>
  <c r="H1201" i="1"/>
  <c r="F1201" i="1"/>
  <c r="D1201" i="1"/>
  <c r="A1201" i="1"/>
  <c r="U1206" i="1"/>
  <c r="R1206" i="1"/>
  <c r="Q1206" i="1"/>
  <c r="P1206" i="1"/>
  <c r="O1206" i="1"/>
  <c r="N1206" i="1"/>
  <c r="M1206" i="1"/>
  <c r="I1206" i="1"/>
  <c r="H1206" i="1"/>
  <c r="F1206" i="1"/>
  <c r="D1206" i="1"/>
  <c r="A1206" i="1"/>
  <c r="U1271" i="1"/>
  <c r="R1271" i="1"/>
  <c r="Q1271" i="1"/>
  <c r="P1271" i="1"/>
  <c r="O1271" i="1"/>
  <c r="N1271" i="1"/>
  <c r="M1271" i="1"/>
  <c r="J1271" i="1"/>
  <c r="I1271" i="1"/>
  <c r="H1271" i="1"/>
  <c r="F1271" i="1"/>
  <c r="D1271" i="1"/>
  <c r="B1271" i="1"/>
  <c r="A1271" i="1"/>
  <c r="U1379" i="1"/>
  <c r="R1379" i="1"/>
  <c r="Q1379" i="1"/>
  <c r="P1379" i="1"/>
  <c r="O1379" i="1"/>
  <c r="N1379" i="1"/>
  <c r="M1379" i="1"/>
  <c r="J1379" i="1"/>
  <c r="I1379" i="1"/>
  <c r="H1379" i="1"/>
  <c r="F1379" i="1"/>
  <c r="D1379" i="1"/>
  <c r="B1379" i="1"/>
  <c r="A1379" i="1"/>
  <c r="U1819" i="1"/>
  <c r="R1819" i="1"/>
  <c r="Q1819" i="1"/>
  <c r="P1819" i="1"/>
  <c r="O1819" i="1"/>
  <c r="N1819" i="1"/>
  <c r="M1819" i="1"/>
  <c r="J1819" i="1"/>
  <c r="I1819" i="1"/>
  <c r="H1819" i="1"/>
  <c r="F1819" i="1"/>
  <c r="D1819" i="1"/>
  <c r="B1819" i="1"/>
  <c r="A1819" i="1"/>
  <c r="U2325" i="1"/>
  <c r="R2325" i="1"/>
  <c r="Q2325" i="1"/>
  <c r="P2325" i="1"/>
  <c r="O2325" i="1"/>
  <c r="N2325" i="1"/>
  <c r="M2325" i="1"/>
  <c r="J2325" i="1"/>
  <c r="I2325" i="1"/>
  <c r="H2325" i="1"/>
  <c r="F2325" i="1"/>
  <c r="D2325" i="1"/>
  <c r="B2325" i="1"/>
  <c r="A2325" i="1"/>
  <c r="U2920" i="1"/>
  <c r="R2920" i="1"/>
  <c r="Q2920" i="1"/>
  <c r="P2920" i="1"/>
  <c r="O2920" i="1"/>
  <c r="N2920" i="1"/>
  <c r="M2920" i="1"/>
  <c r="K2920" i="1"/>
  <c r="J2920" i="1"/>
  <c r="I2920" i="1"/>
  <c r="H2920" i="1"/>
  <c r="F2920" i="1"/>
  <c r="D2920" i="1"/>
  <c r="B2920" i="1"/>
  <c r="A2920" i="1"/>
  <c r="U2741" i="1"/>
  <c r="R2741" i="1"/>
  <c r="Q2741" i="1"/>
  <c r="P2741" i="1"/>
  <c r="O2741" i="1"/>
  <c r="N2741" i="1"/>
  <c r="M2741" i="1"/>
  <c r="K2741" i="1"/>
  <c r="J2741" i="1"/>
  <c r="I2741" i="1"/>
  <c r="H2741" i="1"/>
  <c r="F2741" i="1"/>
  <c r="D2741" i="1"/>
  <c r="B2741" i="1"/>
  <c r="A2741" i="1"/>
  <c r="U2939" i="1"/>
  <c r="R2939" i="1"/>
  <c r="Q2939" i="1"/>
  <c r="P2939" i="1"/>
  <c r="O2939" i="1"/>
  <c r="N2939" i="1"/>
  <c r="M2939" i="1"/>
  <c r="J2939" i="1"/>
  <c r="I2939" i="1"/>
  <c r="H2939" i="1"/>
  <c r="F2939" i="1"/>
  <c r="D2939" i="1"/>
  <c r="B2939" i="1"/>
  <c r="A2939" i="1"/>
  <c r="U2809" i="1"/>
  <c r="R2809" i="1"/>
  <c r="Q2809" i="1"/>
  <c r="P2809" i="1"/>
  <c r="O2809" i="1"/>
  <c r="N2809" i="1"/>
  <c r="M2809" i="1"/>
  <c r="J2809" i="1"/>
  <c r="I2809" i="1"/>
  <c r="H2809" i="1"/>
  <c r="F2809" i="1"/>
  <c r="D2809" i="1"/>
  <c r="B2809" i="1"/>
  <c r="A2809" i="1"/>
  <c r="U2993" i="1"/>
  <c r="R2993" i="1"/>
  <c r="Q2993" i="1"/>
  <c r="P2993" i="1"/>
  <c r="O2993" i="1"/>
  <c r="N2993" i="1"/>
  <c r="M2993" i="1"/>
  <c r="J2993" i="1"/>
  <c r="I2993" i="1"/>
  <c r="H2993" i="1"/>
  <c r="G2993" i="1"/>
  <c r="F2993" i="1"/>
  <c r="D2993" i="1"/>
  <c r="B2993" i="1"/>
  <c r="A2993" i="1"/>
  <c r="U2373" i="1"/>
  <c r="R2373" i="1"/>
  <c r="Q2373" i="1"/>
  <c r="P2373" i="1"/>
  <c r="O2373" i="1"/>
  <c r="N2373" i="1"/>
  <c r="M2373" i="1"/>
  <c r="K2373" i="1"/>
  <c r="J2373" i="1"/>
  <c r="I2373" i="1"/>
  <c r="H2373" i="1"/>
  <c r="F2373" i="1"/>
  <c r="D2373" i="1"/>
  <c r="B2373" i="1"/>
  <c r="A2373" i="1"/>
  <c r="U2372" i="1"/>
  <c r="R2372" i="1"/>
  <c r="Q2372" i="1"/>
  <c r="P2372" i="1"/>
  <c r="O2372" i="1"/>
  <c r="N2372" i="1"/>
  <c r="M2372" i="1"/>
  <c r="K2372" i="1"/>
  <c r="J2372" i="1"/>
  <c r="I2372" i="1"/>
  <c r="H2372" i="1"/>
  <c r="F2372" i="1"/>
  <c r="D2372" i="1"/>
  <c r="B2372" i="1"/>
  <c r="A2372" i="1"/>
  <c r="U3188" i="1"/>
  <c r="R3188" i="1"/>
  <c r="Q3188" i="1"/>
  <c r="P3188" i="1"/>
  <c r="O3188" i="1"/>
  <c r="N3188" i="1"/>
  <c r="M3188" i="1"/>
  <c r="K3188" i="1"/>
  <c r="J3188" i="1"/>
  <c r="I3188" i="1"/>
  <c r="H3188" i="1"/>
  <c r="F3188" i="1"/>
  <c r="D3188" i="1"/>
  <c r="B3188" i="1"/>
  <c r="A3188" i="1"/>
  <c r="U2378" i="1"/>
  <c r="R2378" i="1"/>
  <c r="Q2378" i="1"/>
  <c r="P2378" i="1"/>
  <c r="O2378" i="1"/>
  <c r="N2378" i="1"/>
  <c r="M2378" i="1"/>
  <c r="K2378" i="1"/>
  <c r="J2378" i="1"/>
  <c r="I2378" i="1"/>
  <c r="H2378" i="1"/>
  <c r="F2378" i="1"/>
  <c r="D2378" i="1"/>
  <c r="B2378" i="1"/>
  <c r="A2378" i="1"/>
  <c r="U2659" i="1"/>
  <c r="R2659" i="1"/>
  <c r="Q2659" i="1"/>
  <c r="P2659" i="1"/>
  <c r="O2659" i="1"/>
  <c r="N2659" i="1"/>
  <c r="M2659" i="1"/>
  <c r="J2659" i="1"/>
  <c r="I2659" i="1"/>
  <c r="H2659" i="1"/>
  <c r="F2659" i="1"/>
  <c r="E2659" i="1"/>
  <c r="D2659" i="1"/>
  <c r="B2659" i="1"/>
  <c r="A2659" i="1"/>
  <c r="U2899" i="1"/>
  <c r="R2899" i="1"/>
  <c r="Q2899" i="1"/>
  <c r="P2899" i="1"/>
  <c r="O2899" i="1"/>
  <c r="N2899" i="1"/>
  <c r="M2899" i="1"/>
  <c r="J2899" i="1"/>
  <c r="I2899" i="1"/>
  <c r="H2899" i="1"/>
  <c r="F2899" i="1"/>
  <c r="D2899" i="1"/>
  <c r="B2899" i="1"/>
  <c r="A2899" i="1"/>
  <c r="U2820" i="1"/>
  <c r="R2820" i="1"/>
  <c r="Q2820" i="1"/>
  <c r="P2820" i="1"/>
  <c r="O2820" i="1"/>
  <c r="N2820" i="1"/>
  <c r="M2820" i="1"/>
  <c r="K2820" i="1"/>
  <c r="J2820" i="1"/>
  <c r="I2820" i="1"/>
  <c r="H2820" i="1"/>
  <c r="F2820" i="1"/>
  <c r="D2820" i="1"/>
  <c r="B2820" i="1"/>
  <c r="A2820" i="1"/>
  <c r="U84" i="1"/>
  <c r="R84" i="1"/>
  <c r="Q84" i="1"/>
  <c r="P84" i="1"/>
  <c r="O84" i="1"/>
  <c r="N84" i="1"/>
  <c r="M84" i="1"/>
  <c r="J84" i="1"/>
  <c r="I84" i="1"/>
  <c r="H84" i="1"/>
  <c r="F84" i="1"/>
  <c r="D84" i="1"/>
  <c r="B84" i="1"/>
  <c r="A84" i="1"/>
  <c r="U2621" i="1"/>
  <c r="R2621" i="1"/>
  <c r="Q2621" i="1"/>
  <c r="P2621" i="1"/>
  <c r="O2621" i="1"/>
  <c r="N2621" i="1"/>
  <c r="M2621" i="1"/>
  <c r="K2621" i="1"/>
  <c r="J2621" i="1"/>
  <c r="I2621" i="1"/>
  <c r="H2621" i="1"/>
  <c r="F2621" i="1"/>
  <c r="D2621" i="1"/>
  <c r="B2621" i="1"/>
  <c r="A2621" i="1"/>
  <c r="U3133" i="1"/>
  <c r="R3133" i="1"/>
  <c r="Q3133" i="1"/>
  <c r="P3133" i="1"/>
  <c r="O3133" i="1"/>
  <c r="N3133" i="1"/>
  <c r="M3133" i="1"/>
  <c r="K3133" i="1"/>
  <c r="J3133" i="1"/>
  <c r="I3133" i="1"/>
  <c r="H3133" i="1"/>
  <c r="F3133" i="1"/>
  <c r="D3133" i="1"/>
  <c r="B3133" i="1"/>
  <c r="A3133" i="1"/>
  <c r="U2404" i="1"/>
  <c r="R2404" i="1"/>
  <c r="Q2404" i="1"/>
  <c r="P2404" i="1"/>
  <c r="O2404" i="1"/>
  <c r="N2404" i="1"/>
  <c r="M2404" i="1"/>
  <c r="K2404" i="1"/>
  <c r="J2404" i="1"/>
  <c r="I2404" i="1"/>
  <c r="H2404" i="1"/>
  <c r="F2404" i="1"/>
  <c r="D2404" i="1"/>
  <c r="B2404" i="1"/>
  <c r="A2404" i="1"/>
  <c r="U3126" i="1"/>
  <c r="R3126" i="1"/>
  <c r="Q3126" i="1"/>
  <c r="P3126" i="1"/>
  <c r="O3126" i="1"/>
  <c r="N3126" i="1"/>
  <c r="M3126" i="1"/>
  <c r="K3126" i="1"/>
  <c r="J3126" i="1"/>
  <c r="I3126" i="1"/>
  <c r="H3126" i="1"/>
  <c r="F3126" i="1"/>
  <c r="D3126" i="1"/>
  <c r="B3126" i="1"/>
  <c r="A3126" i="1"/>
  <c r="U3042" i="1"/>
  <c r="R3042" i="1"/>
  <c r="Q3042" i="1"/>
  <c r="P3042" i="1"/>
  <c r="O3042" i="1"/>
  <c r="N3042" i="1"/>
  <c r="M3042" i="1"/>
  <c r="J3042" i="1"/>
  <c r="I3042" i="1"/>
  <c r="H3042" i="1"/>
  <c r="F3042" i="1"/>
  <c r="D3042" i="1"/>
  <c r="B3042" i="1"/>
  <c r="A3042" i="1"/>
  <c r="U83" i="1"/>
  <c r="R83" i="1"/>
  <c r="Q83" i="1"/>
  <c r="P83" i="1"/>
  <c r="O83" i="1"/>
  <c r="N83" i="1"/>
  <c r="M83" i="1"/>
  <c r="J83" i="1"/>
  <c r="I83" i="1"/>
  <c r="H83" i="1"/>
  <c r="F83" i="1"/>
  <c r="D83" i="1"/>
  <c r="B83" i="1"/>
  <c r="A83" i="1"/>
  <c r="U138" i="1"/>
  <c r="R138" i="1"/>
  <c r="Q138" i="1"/>
  <c r="P138" i="1"/>
  <c r="O138" i="1"/>
  <c r="N138" i="1"/>
  <c r="M138" i="1"/>
  <c r="J138" i="1"/>
  <c r="I138" i="1"/>
  <c r="H138" i="1"/>
  <c r="F138" i="1"/>
  <c r="D138" i="1"/>
  <c r="B138" i="1"/>
  <c r="A138" i="1"/>
  <c r="U270" i="1"/>
  <c r="R270" i="1"/>
  <c r="Q270" i="1"/>
  <c r="P270" i="1"/>
  <c r="O270" i="1"/>
  <c r="N270" i="1"/>
  <c r="M270" i="1"/>
  <c r="J270" i="1"/>
  <c r="I270" i="1"/>
  <c r="H270" i="1"/>
  <c r="F270" i="1"/>
  <c r="D270" i="1"/>
  <c r="B270" i="1"/>
  <c r="A270" i="1"/>
  <c r="U316" i="1"/>
  <c r="R316" i="1"/>
  <c r="Q316" i="1"/>
  <c r="P316" i="1"/>
  <c r="O316" i="1"/>
  <c r="N316" i="1"/>
  <c r="M316" i="1"/>
  <c r="J316" i="1"/>
  <c r="I316" i="1"/>
  <c r="H316" i="1"/>
  <c r="F316" i="1"/>
  <c r="D316" i="1"/>
  <c r="B316" i="1"/>
  <c r="A316" i="1"/>
  <c r="U18" i="1"/>
  <c r="R18" i="1"/>
  <c r="Q18" i="1"/>
  <c r="P18" i="1"/>
  <c r="O18" i="1"/>
  <c r="N18" i="1"/>
  <c r="M18" i="1"/>
  <c r="J18" i="1"/>
  <c r="I18" i="1"/>
  <c r="H18" i="1"/>
  <c r="F18" i="1"/>
  <c r="D18" i="1"/>
  <c r="B18" i="1"/>
  <c r="A18" i="1"/>
  <c r="U340" i="1"/>
  <c r="R340" i="1"/>
  <c r="Q340" i="1"/>
  <c r="P340" i="1"/>
  <c r="O340" i="1"/>
  <c r="N340" i="1"/>
  <c r="M340" i="1"/>
  <c r="J340" i="1"/>
  <c r="I340" i="1"/>
  <c r="H340" i="1"/>
  <c r="F340" i="1"/>
  <c r="D340" i="1"/>
  <c r="B340" i="1"/>
  <c r="A340" i="1"/>
  <c r="U435" i="1"/>
  <c r="R435" i="1"/>
  <c r="Q435" i="1"/>
  <c r="P435" i="1"/>
  <c r="O435" i="1"/>
  <c r="N435" i="1"/>
  <c r="M435" i="1"/>
  <c r="J435" i="1"/>
  <c r="I435" i="1"/>
  <c r="H435" i="1"/>
  <c r="F435" i="1"/>
  <c r="D435" i="1"/>
  <c r="B435" i="1"/>
  <c r="A435" i="1"/>
  <c r="U519" i="1"/>
  <c r="R519" i="1"/>
  <c r="Q519" i="1"/>
  <c r="P519" i="1"/>
  <c r="O519" i="1"/>
  <c r="N519" i="1"/>
  <c r="M519" i="1"/>
  <c r="J519" i="1"/>
  <c r="I519" i="1"/>
  <c r="H519" i="1"/>
  <c r="F519" i="1"/>
  <c r="D519" i="1"/>
  <c r="B519" i="1"/>
  <c r="A519" i="1"/>
  <c r="U684" i="1"/>
  <c r="R684" i="1"/>
  <c r="Q684" i="1"/>
  <c r="P684" i="1"/>
  <c r="O684" i="1"/>
  <c r="N684" i="1"/>
  <c r="M684" i="1"/>
  <c r="J684" i="1"/>
  <c r="I684" i="1"/>
  <c r="H684" i="1"/>
  <c r="F684" i="1"/>
  <c r="D684" i="1"/>
  <c r="B684" i="1"/>
  <c r="A684" i="1"/>
  <c r="U932" i="1"/>
  <c r="R932" i="1"/>
  <c r="Q932" i="1"/>
  <c r="P932" i="1"/>
  <c r="O932" i="1"/>
  <c r="N932" i="1"/>
  <c r="M932" i="1"/>
  <c r="J932" i="1"/>
  <c r="I932" i="1"/>
  <c r="H932" i="1"/>
  <c r="F932" i="1"/>
  <c r="D932" i="1"/>
  <c r="B932" i="1"/>
  <c r="A932" i="1"/>
  <c r="U47" i="1"/>
  <c r="R47" i="1"/>
  <c r="Q47" i="1"/>
  <c r="P47" i="1"/>
  <c r="O47" i="1"/>
  <c r="N47" i="1"/>
  <c r="M47" i="1"/>
  <c r="J47" i="1"/>
  <c r="I47" i="1"/>
  <c r="H47" i="1"/>
  <c r="F47" i="1"/>
  <c r="D47" i="1"/>
  <c r="B47" i="1"/>
  <c r="A47" i="1"/>
  <c r="U875" i="1"/>
  <c r="R875" i="1"/>
  <c r="Q875" i="1"/>
  <c r="P875" i="1"/>
  <c r="O875" i="1"/>
  <c r="N875" i="1"/>
  <c r="M875" i="1"/>
  <c r="J875" i="1"/>
  <c r="I875" i="1"/>
  <c r="H875" i="1"/>
  <c r="F875" i="1"/>
  <c r="D875" i="1"/>
  <c r="B875" i="1"/>
  <c r="A875" i="1"/>
  <c r="U1287" i="1"/>
  <c r="R1287" i="1"/>
  <c r="Q1287" i="1"/>
  <c r="P1287" i="1"/>
  <c r="O1287" i="1"/>
  <c r="N1287" i="1"/>
  <c r="M1287" i="1"/>
  <c r="J1287" i="1"/>
  <c r="I1287" i="1"/>
  <c r="H1287" i="1"/>
  <c r="F1287" i="1"/>
  <c r="D1287" i="1"/>
  <c r="B1287" i="1"/>
  <c r="A1287" i="1"/>
  <c r="U2053" i="1"/>
  <c r="R2053" i="1"/>
  <c r="Q2053" i="1"/>
  <c r="P2053" i="1"/>
  <c r="O2053" i="1"/>
  <c r="N2053" i="1"/>
  <c r="M2053" i="1"/>
  <c r="K2053" i="1"/>
  <c r="J2053" i="1"/>
  <c r="I2053" i="1"/>
  <c r="H2053" i="1"/>
  <c r="F2053" i="1"/>
  <c r="D2053" i="1"/>
  <c r="B2053" i="1"/>
  <c r="A2053" i="1"/>
  <c r="U2509" i="1"/>
  <c r="R2509" i="1"/>
  <c r="Q2509" i="1"/>
  <c r="P2509" i="1"/>
  <c r="O2509" i="1"/>
  <c r="N2509" i="1"/>
  <c r="M2509" i="1"/>
  <c r="J2509" i="1"/>
  <c r="I2509" i="1"/>
  <c r="H2509" i="1"/>
  <c r="F2509" i="1"/>
  <c r="D2509" i="1"/>
  <c r="B2509" i="1"/>
  <c r="A2509" i="1"/>
  <c r="U2907" i="1"/>
  <c r="R2907" i="1"/>
  <c r="Q2907" i="1"/>
  <c r="P2907" i="1"/>
  <c r="O2907" i="1"/>
  <c r="N2907" i="1"/>
  <c r="M2907" i="1"/>
  <c r="J2907" i="1"/>
  <c r="I2907" i="1"/>
  <c r="H2907" i="1"/>
  <c r="F2907" i="1"/>
  <c r="D2907" i="1"/>
  <c r="B2907" i="1"/>
  <c r="A2907" i="1"/>
  <c r="U3026" i="1"/>
  <c r="R3026" i="1"/>
  <c r="Q3026" i="1"/>
  <c r="P3026" i="1"/>
  <c r="O3026" i="1"/>
  <c r="N3026" i="1"/>
  <c r="M3026" i="1"/>
  <c r="J3026" i="1"/>
  <c r="I3026" i="1"/>
  <c r="H3026" i="1"/>
  <c r="F3026" i="1"/>
  <c r="D3026" i="1"/>
  <c r="B3026" i="1"/>
  <c r="A3026" i="1"/>
  <c r="U3049" i="1"/>
  <c r="R3049" i="1"/>
  <c r="Q3049" i="1"/>
  <c r="P3049" i="1"/>
  <c r="O3049" i="1"/>
  <c r="N3049" i="1"/>
  <c r="M3049" i="1"/>
  <c r="K3049" i="1"/>
  <c r="J3049" i="1"/>
  <c r="I3049" i="1"/>
  <c r="H3049" i="1"/>
  <c r="F3049" i="1"/>
  <c r="D3049" i="1"/>
  <c r="B3049" i="1"/>
  <c r="A3049" i="1"/>
  <c r="U3011" i="1"/>
  <c r="R3011" i="1"/>
  <c r="Q3011" i="1"/>
  <c r="P3011" i="1"/>
  <c r="O3011" i="1"/>
  <c r="N3011" i="1"/>
  <c r="M3011" i="1"/>
  <c r="K3011" i="1"/>
  <c r="J3011" i="1"/>
  <c r="I3011" i="1"/>
  <c r="H3011" i="1"/>
  <c r="F3011" i="1"/>
  <c r="D3011" i="1"/>
  <c r="B3011" i="1"/>
  <c r="A3011" i="1"/>
  <c r="U3032" i="1"/>
  <c r="R3032" i="1"/>
  <c r="Q3032" i="1"/>
  <c r="P3032" i="1"/>
  <c r="O3032" i="1"/>
  <c r="N3032" i="1"/>
  <c r="M3032" i="1"/>
  <c r="K3032" i="1"/>
  <c r="J3032" i="1"/>
  <c r="I3032" i="1"/>
  <c r="H3032" i="1"/>
  <c r="F3032" i="1"/>
  <c r="E3032" i="1"/>
  <c r="D3032" i="1"/>
  <c r="B3032" i="1"/>
  <c r="A3032" i="1"/>
  <c r="U3130" i="1"/>
  <c r="R3130" i="1"/>
  <c r="Q3130" i="1"/>
  <c r="P3130" i="1"/>
  <c r="O3130" i="1"/>
  <c r="N3130" i="1"/>
  <c r="M3130" i="1"/>
  <c r="K3130" i="1"/>
  <c r="J3130" i="1"/>
  <c r="I3130" i="1"/>
  <c r="H3130" i="1"/>
  <c r="G3130" i="1"/>
  <c r="F3130" i="1"/>
  <c r="D3130" i="1"/>
  <c r="B3130" i="1"/>
  <c r="A3130" i="1"/>
  <c r="U2996" i="1"/>
  <c r="R2996" i="1"/>
  <c r="Q2996" i="1"/>
  <c r="P2996" i="1"/>
  <c r="O2996" i="1"/>
  <c r="N2996" i="1"/>
  <c r="M2996" i="1"/>
  <c r="K2996" i="1"/>
  <c r="J2996" i="1"/>
  <c r="I2996" i="1"/>
  <c r="H2996" i="1"/>
  <c r="G2996" i="1"/>
  <c r="F2996" i="1"/>
  <c r="D2996" i="1"/>
  <c r="B2996" i="1"/>
  <c r="A2996" i="1"/>
  <c r="U2700" i="1"/>
  <c r="R2700" i="1"/>
  <c r="Q2700" i="1"/>
  <c r="P2700" i="1"/>
  <c r="O2700" i="1"/>
  <c r="N2700" i="1"/>
  <c r="M2700" i="1"/>
  <c r="J2700" i="1"/>
  <c r="I2700" i="1"/>
  <c r="H2700" i="1"/>
  <c r="F2700" i="1"/>
  <c r="D2700" i="1"/>
  <c r="B2700" i="1"/>
  <c r="A2700" i="1"/>
  <c r="U3025" i="1"/>
  <c r="R3025" i="1"/>
  <c r="Q3025" i="1"/>
  <c r="P3025" i="1"/>
  <c r="O3025" i="1"/>
  <c r="N3025" i="1"/>
  <c r="M3025" i="1"/>
  <c r="K3025" i="1"/>
  <c r="J3025" i="1"/>
  <c r="I3025" i="1"/>
  <c r="H3025" i="1"/>
  <c r="F3025" i="1"/>
  <c r="D3025" i="1"/>
  <c r="B3025" i="1"/>
  <c r="A3025" i="1"/>
  <c r="U2692" i="1"/>
  <c r="R2692" i="1"/>
  <c r="Q2692" i="1"/>
  <c r="P2692" i="1"/>
  <c r="O2692" i="1"/>
  <c r="N2692" i="1"/>
  <c r="M2692" i="1"/>
  <c r="J2692" i="1"/>
  <c r="I2692" i="1"/>
  <c r="H2692" i="1"/>
  <c r="F2692" i="1"/>
  <c r="D2692" i="1"/>
  <c r="B2692" i="1"/>
  <c r="A2692" i="1"/>
  <c r="U3022" i="1"/>
  <c r="R3022" i="1"/>
  <c r="Q3022" i="1"/>
  <c r="P3022" i="1"/>
  <c r="O3022" i="1"/>
  <c r="N3022" i="1"/>
  <c r="M3022" i="1"/>
  <c r="K3022" i="1"/>
  <c r="J3022" i="1"/>
  <c r="I3022" i="1"/>
  <c r="H3022" i="1"/>
  <c r="F3022" i="1"/>
  <c r="D3022" i="1"/>
  <c r="B3022" i="1"/>
  <c r="A3022" i="1"/>
  <c r="U3014" i="1"/>
  <c r="R3014" i="1"/>
  <c r="Q3014" i="1"/>
  <c r="P3014" i="1"/>
  <c r="O3014" i="1"/>
  <c r="N3014" i="1"/>
  <c r="M3014" i="1"/>
  <c r="K3014" i="1"/>
  <c r="J3014" i="1"/>
  <c r="I3014" i="1"/>
  <c r="H3014" i="1"/>
  <c r="F3014" i="1"/>
  <c r="D3014" i="1"/>
  <c r="B3014" i="1"/>
  <c r="A3014" i="1"/>
  <c r="U3139" i="1"/>
  <c r="R3139" i="1"/>
  <c r="Q3139" i="1"/>
  <c r="P3139" i="1"/>
  <c r="O3139" i="1"/>
  <c r="N3139" i="1"/>
  <c r="M3139" i="1"/>
  <c r="K3139" i="1"/>
  <c r="J3139" i="1"/>
  <c r="I3139" i="1"/>
  <c r="H3139" i="1"/>
  <c r="F3139" i="1"/>
  <c r="E3139" i="1"/>
  <c r="D3139" i="1"/>
  <c r="B3139" i="1"/>
  <c r="A3139" i="1"/>
  <c r="U3120" i="1"/>
  <c r="R3120" i="1"/>
  <c r="Q3120" i="1"/>
  <c r="P3120" i="1"/>
  <c r="O3120" i="1"/>
  <c r="N3120" i="1"/>
  <c r="M3120" i="1"/>
  <c r="K3120" i="1"/>
  <c r="J3120" i="1"/>
  <c r="I3120" i="1"/>
  <c r="H3120" i="1"/>
  <c r="F3120" i="1"/>
  <c r="E3120" i="1"/>
  <c r="D3120" i="1"/>
  <c r="B3120" i="1"/>
  <c r="A3120" i="1"/>
  <c r="U2729" i="1"/>
  <c r="R2729" i="1"/>
  <c r="Q2729" i="1"/>
  <c r="P2729" i="1"/>
  <c r="O2729" i="1"/>
  <c r="N2729" i="1"/>
  <c r="M2729" i="1"/>
  <c r="J2729" i="1"/>
  <c r="I2729" i="1"/>
  <c r="H2729" i="1"/>
  <c r="F2729" i="1"/>
  <c r="E2729" i="1"/>
  <c r="D2729" i="1"/>
  <c r="B2729" i="1"/>
  <c r="A2729" i="1"/>
  <c r="U2612" i="1"/>
  <c r="R2612" i="1"/>
  <c r="Q2612" i="1"/>
  <c r="P2612" i="1"/>
  <c r="O2612" i="1"/>
  <c r="N2612" i="1"/>
  <c r="M2612" i="1"/>
  <c r="J2612" i="1"/>
  <c r="I2612" i="1"/>
  <c r="H2612" i="1"/>
  <c r="F2612" i="1"/>
  <c r="D2612" i="1"/>
  <c r="B2612" i="1"/>
  <c r="A2612" i="1"/>
  <c r="U3125" i="1"/>
  <c r="R3125" i="1"/>
  <c r="Q3125" i="1"/>
  <c r="P3125" i="1"/>
  <c r="O3125" i="1"/>
  <c r="N3125" i="1"/>
  <c r="M3125" i="1"/>
  <c r="J3125" i="1"/>
  <c r="I3125" i="1"/>
  <c r="H3125" i="1"/>
  <c r="F3125" i="1"/>
  <c r="D3125" i="1"/>
  <c r="B3125" i="1"/>
  <c r="A3125" i="1"/>
  <c r="U423" i="1"/>
  <c r="R423" i="1"/>
  <c r="Q423" i="1"/>
  <c r="P423" i="1"/>
  <c r="O423" i="1"/>
  <c r="N423" i="1"/>
  <c r="M423" i="1"/>
  <c r="I423" i="1"/>
  <c r="H423" i="1"/>
  <c r="F423" i="1"/>
  <c r="D423" i="1"/>
  <c r="A423" i="1"/>
  <c r="U434" i="1"/>
  <c r="R434" i="1"/>
  <c r="Q434" i="1"/>
  <c r="P434" i="1"/>
  <c r="O434" i="1"/>
  <c r="N434" i="1"/>
  <c r="M434" i="1"/>
  <c r="I434" i="1"/>
  <c r="H434" i="1"/>
  <c r="F434" i="1"/>
  <c r="D434" i="1"/>
  <c r="B434" i="1"/>
  <c r="A434" i="1"/>
  <c r="U1627" i="1"/>
  <c r="R1627" i="1"/>
  <c r="Q1627" i="1"/>
  <c r="P1627" i="1"/>
  <c r="O1627" i="1"/>
  <c r="N1627" i="1"/>
  <c r="M1627" i="1"/>
  <c r="I1627" i="1"/>
  <c r="H1627" i="1"/>
  <c r="F1627" i="1"/>
  <c r="D1627" i="1"/>
  <c r="B1627" i="1"/>
  <c r="A1627" i="1"/>
  <c r="U1713" i="1"/>
  <c r="R1713" i="1"/>
  <c r="Q1713" i="1"/>
  <c r="P1713" i="1"/>
  <c r="O1713" i="1"/>
  <c r="N1713" i="1"/>
  <c r="M1713" i="1"/>
  <c r="K1713" i="1"/>
  <c r="J1713" i="1"/>
  <c r="I1713" i="1"/>
  <c r="H1713" i="1"/>
  <c r="F1713" i="1"/>
  <c r="D1713" i="1"/>
  <c r="B1713" i="1"/>
  <c r="A1713" i="1"/>
  <c r="U1626" i="1"/>
  <c r="R1626" i="1"/>
  <c r="Q1626" i="1"/>
  <c r="P1626" i="1"/>
  <c r="O1626" i="1"/>
  <c r="N1626" i="1"/>
  <c r="M1626" i="1"/>
  <c r="J1626" i="1"/>
  <c r="I1626" i="1"/>
  <c r="H1626" i="1"/>
  <c r="F1626" i="1"/>
  <c r="D1626" i="1"/>
  <c r="B1626" i="1"/>
  <c r="A1626" i="1"/>
  <c r="U2691" i="1"/>
  <c r="R2691" i="1"/>
  <c r="Q2691" i="1"/>
  <c r="P2691" i="1"/>
  <c r="O2691" i="1"/>
  <c r="N2691" i="1"/>
  <c r="M2691" i="1"/>
  <c r="K2691" i="1"/>
  <c r="J2691" i="1"/>
  <c r="I2691" i="1"/>
  <c r="H2691" i="1"/>
  <c r="F2691" i="1"/>
  <c r="D2691" i="1"/>
  <c r="B2691" i="1"/>
  <c r="A2691" i="1"/>
  <c r="U2744" i="1"/>
  <c r="R2744" i="1"/>
  <c r="Q2744" i="1"/>
  <c r="P2744" i="1"/>
  <c r="O2744" i="1"/>
  <c r="N2744" i="1"/>
  <c r="M2744" i="1"/>
  <c r="K2744" i="1"/>
  <c r="J2744" i="1"/>
  <c r="I2744" i="1"/>
  <c r="H2744" i="1"/>
  <c r="F2744" i="1"/>
  <c r="D2744" i="1"/>
  <c r="B2744" i="1"/>
  <c r="A2744" i="1"/>
  <c r="U3119" i="1"/>
  <c r="R3119" i="1"/>
  <c r="Q3119" i="1"/>
  <c r="P3119" i="1"/>
  <c r="O3119" i="1"/>
  <c r="N3119" i="1"/>
  <c r="M3119" i="1"/>
  <c r="J3119" i="1"/>
  <c r="I3119" i="1"/>
  <c r="H3119" i="1"/>
  <c r="F3119" i="1"/>
  <c r="D3119" i="1"/>
  <c r="B3119" i="1"/>
  <c r="A3119" i="1"/>
  <c r="U3151" i="1"/>
  <c r="R3151" i="1"/>
  <c r="Q3151" i="1"/>
  <c r="P3151" i="1"/>
  <c r="O3151" i="1"/>
  <c r="N3151" i="1"/>
  <c r="M3151" i="1"/>
  <c r="J3151" i="1"/>
  <c r="I3151" i="1"/>
  <c r="H3151" i="1"/>
  <c r="G3151" i="1"/>
  <c r="F3151" i="1"/>
  <c r="D3151" i="1"/>
  <c r="B3151" i="1"/>
  <c r="A3151" i="1"/>
  <c r="U2904" i="1"/>
  <c r="R2904" i="1"/>
  <c r="Q2904" i="1"/>
  <c r="P2904" i="1"/>
  <c r="O2904" i="1"/>
  <c r="N2904" i="1"/>
  <c r="M2904" i="1"/>
  <c r="J2904" i="1"/>
  <c r="I2904" i="1"/>
  <c r="H2904" i="1"/>
  <c r="F2904" i="1"/>
  <c r="D2904" i="1"/>
  <c r="B2904" i="1"/>
  <c r="A2904" i="1"/>
  <c r="U2035" i="1"/>
  <c r="R2035" i="1"/>
  <c r="Q2035" i="1"/>
  <c r="P2035" i="1"/>
  <c r="O2035" i="1"/>
  <c r="N2035" i="1"/>
  <c r="M2035" i="1"/>
  <c r="J2035" i="1"/>
  <c r="I2035" i="1"/>
  <c r="H2035" i="1"/>
  <c r="F2035" i="1"/>
  <c r="D2035" i="1"/>
  <c r="B2035" i="1"/>
  <c r="A2035" i="1"/>
  <c r="U2034" i="1"/>
  <c r="R2034" i="1"/>
  <c r="Q2034" i="1"/>
  <c r="P2034" i="1"/>
  <c r="O2034" i="1"/>
  <c r="N2034" i="1"/>
  <c r="M2034" i="1"/>
  <c r="J2034" i="1"/>
  <c r="I2034" i="1"/>
  <c r="H2034" i="1"/>
  <c r="F2034" i="1"/>
  <c r="D2034" i="1"/>
  <c r="B2034" i="1"/>
  <c r="A2034" i="1"/>
  <c r="U2360" i="1"/>
  <c r="R2360" i="1"/>
  <c r="Q2360" i="1"/>
  <c r="P2360" i="1"/>
  <c r="O2360" i="1"/>
  <c r="N2360" i="1"/>
  <c r="M2360" i="1"/>
  <c r="J2360" i="1"/>
  <c r="I2360" i="1"/>
  <c r="H2360" i="1"/>
  <c r="F2360" i="1"/>
  <c r="D2360" i="1"/>
  <c r="B2360" i="1"/>
  <c r="A2360" i="1"/>
  <c r="U474" i="1"/>
  <c r="R474" i="1"/>
  <c r="Q474" i="1"/>
  <c r="P474" i="1"/>
  <c r="O474" i="1"/>
  <c r="N474" i="1"/>
  <c r="M474" i="1"/>
  <c r="J474" i="1"/>
  <c r="I474" i="1"/>
  <c r="H474" i="1"/>
  <c r="F474" i="1"/>
  <c r="D474" i="1"/>
  <c r="B474" i="1"/>
  <c r="A474" i="1"/>
  <c r="U581" i="1"/>
  <c r="R581" i="1"/>
  <c r="Q581" i="1"/>
  <c r="P581" i="1"/>
  <c r="O581" i="1"/>
  <c r="N581" i="1"/>
  <c r="M581" i="1"/>
  <c r="J581" i="1"/>
  <c r="I581" i="1"/>
  <c r="H581" i="1"/>
  <c r="F581" i="1"/>
  <c r="E581" i="1"/>
  <c r="D581" i="1"/>
  <c r="B581" i="1"/>
  <c r="A581" i="1"/>
  <c r="U812" i="1"/>
  <c r="R812" i="1"/>
  <c r="Q812" i="1"/>
  <c r="P812" i="1"/>
  <c r="O812" i="1"/>
  <c r="N812" i="1"/>
  <c r="M812" i="1"/>
  <c r="J812" i="1"/>
  <c r="I812" i="1"/>
  <c r="H812" i="1"/>
  <c r="F812" i="1"/>
  <c r="D812" i="1"/>
  <c r="B812" i="1"/>
  <c r="A812" i="1"/>
  <c r="U803" i="1"/>
  <c r="R803" i="1"/>
  <c r="Q803" i="1"/>
  <c r="P803" i="1"/>
  <c r="O803" i="1"/>
  <c r="N803" i="1"/>
  <c r="M803" i="1"/>
  <c r="J803" i="1"/>
  <c r="I803" i="1"/>
  <c r="H803" i="1"/>
  <c r="F803" i="1"/>
  <c r="D803" i="1"/>
  <c r="B803" i="1"/>
  <c r="A803" i="1"/>
  <c r="U889" i="1"/>
  <c r="R889" i="1"/>
  <c r="Q889" i="1"/>
  <c r="P889" i="1"/>
  <c r="O889" i="1"/>
  <c r="N889" i="1"/>
  <c r="M889" i="1"/>
  <c r="J889" i="1"/>
  <c r="I889" i="1"/>
  <c r="H889" i="1"/>
  <c r="F889" i="1"/>
  <c r="D889" i="1"/>
  <c r="B889" i="1"/>
  <c r="A889" i="1"/>
  <c r="U822" i="1"/>
  <c r="R822" i="1"/>
  <c r="Q822" i="1"/>
  <c r="P822" i="1"/>
  <c r="O822" i="1"/>
  <c r="N822" i="1"/>
  <c r="M822" i="1"/>
  <c r="J822" i="1"/>
  <c r="I822" i="1"/>
  <c r="H822" i="1"/>
  <c r="F822" i="1"/>
  <c r="D822" i="1"/>
  <c r="B822" i="1"/>
  <c r="A822" i="1"/>
  <c r="U1052" i="1"/>
  <c r="R1052" i="1"/>
  <c r="Q1052" i="1"/>
  <c r="P1052" i="1"/>
  <c r="O1052" i="1"/>
  <c r="N1052" i="1"/>
  <c r="M1052" i="1"/>
  <c r="J1052" i="1"/>
  <c r="I1052" i="1"/>
  <c r="H1052" i="1"/>
  <c r="F1052" i="1"/>
  <c r="D1052" i="1"/>
  <c r="B1052" i="1"/>
  <c r="A1052" i="1"/>
  <c r="U1317" i="1"/>
  <c r="R1317" i="1"/>
  <c r="Q1317" i="1"/>
  <c r="P1317" i="1"/>
  <c r="O1317" i="1"/>
  <c r="N1317" i="1"/>
  <c r="M1317" i="1"/>
  <c r="J1317" i="1"/>
  <c r="I1317" i="1"/>
  <c r="H1317" i="1"/>
  <c r="F1317" i="1"/>
  <c r="D1317" i="1"/>
  <c r="B1317" i="1"/>
  <c r="A1317" i="1"/>
  <c r="U1411" i="1"/>
  <c r="R1411" i="1"/>
  <c r="Q1411" i="1"/>
  <c r="P1411" i="1"/>
  <c r="O1411" i="1"/>
  <c r="N1411" i="1"/>
  <c r="M1411" i="1"/>
  <c r="J1411" i="1"/>
  <c r="I1411" i="1"/>
  <c r="H1411" i="1"/>
  <c r="F1411" i="1"/>
  <c r="D1411" i="1"/>
  <c r="B1411" i="1"/>
  <c r="A1411" i="1"/>
  <c r="U1445" i="1"/>
  <c r="R1445" i="1"/>
  <c r="Q1445" i="1"/>
  <c r="P1445" i="1"/>
  <c r="O1445" i="1"/>
  <c r="N1445" i="1"/>
  <c r="M1445" i="1"/>
  <c r="J1445" i="1"/>
  <c r="I1445" i="1"/>
  <c r="H1445" i="1"/>
  <c r="F1445" i="1"/>
  <c r="D1445" i="1"/>
  <c r="B1445" i="1"/>
  <c r="A1445" i="1"/>
  <c r="U1777" i="1"/>
  <c r="R1777" i="1"/>
  <c r="Q1777" i="1"/>
  <c r="P1777" i="1"/>
  <c r="O1777" i="1"/>
  <c r="N1777" i="1"/>
  <c r="M1777" i="1"/>
  <c r="K1777" i="1"/>
  <c r="J1777" i="1"/>
  <c r="I1777" i="1"/>
  <c r="H1777" i="1"/>
  <c r="G1777" i="1"/>
  <c r="F1777" i="1"/>
  <c r="D1777" i="1"/>
  <c r="B1777" i="1"/>
  <c r="A1777" i="1"/>
  <c r="U2556" i="1"/>
  <c r="R2556" i="1"/>
  <c r="Q2556" i="1"/>
  <c r="P2556" i="1"/>
  <c r="O2556" i="1"/>
  <c r="N2556" i="1"/>
  <c r="M2556" i="1"/>
  <c r="J2556" i="1"/>
  <c r="I2556" i="1"/>
  <c r="H2556" i="1"/>
  <c r="F2556" i="1"/>
  <c r="D2556" i="1"/>
  <c r="B2556" i="1"/>
  <c r="A2556" i="1"/>
  <c r="U2707" i="1"/>
  <c r="R2707" i="1"/>
  <c r="Q2707" i="1"/>
  <c r="P2707" i="1"/>
  <c r="O2707" i="1"/>
  <c r="N2707" i="1"/>
  <c r="M2707" i="1"/>
  <c r="K2707" i="1"/>
  <c r="J2707" i="1"/>
  <c r="I2707" i="1"/>
  <c r="H2707" i="1"/>
  <c r="F2707" i="1"/>
  <c r="E2707" i="1"/>
  <c r="D2707" i="1"/>
  <c r="B2707" i="1"/>
  <c r="A2707" i="1"/>
  <c r="U3222" i="1"/>
  <c r="R3222" i="1"/>
  <c r="Q3222" i="1"/>
  <c r="P3222" i="1"/>
  <c r="O3222" i="1"/>
  <c r="N3222" i="1"/>
  <c r="M3222" i="1"/>
  <c r="J3222" i="1"/>
  <c r="I3222" i="1"/>
  <c r="H3222" i="1"/>
  <c r="F3222" i="1"/>
  <c r="D3222" i="1"/>
  <c r="B3222" i="1"/>
  <c r="A3222" i="1"/>
  <c r="U2965" i="1"/>
  <c r="R2965" i="1"/>
  <c r="Q2965" i="1"/>
  <c r="P2965" i="1"/>
  <c r="O2965" i="1"/>
  <c r="N2965" i="1"/>
  <c r="M2965" i="1"/>
  <c r="K2965" i="1"/>
  <c r="J2965" i="1"/>
  <c r="I2965" i="1"/>
  <c r="H2965" i="1"/>
  <c r="F2965" i="1"/>
  <c r="D2965" i="1"/>
  <c r="B2965" i="1"/>
  <c r="A2965" i="1"/>
  <c r="U2912" i="1"/>
  <c r="R2912" i="1"/>
  <c r="Q2912" i="1"/>
  <c r="P2912" i="1"/>
  <c r="O2912" i="1"/>
  <c r="N2912" i="1"/>
  <c r="M2912" i="1"/>
  <c r="K2912" i="1"/>
  <c r="J2912" i="1"/>
  <c r="I2912" i="1"/>
  <c r="H2912" i="1"/>
  <c r="F2912" i="1"/>
  <c r="D2912" i="1"/>
  <c r="B2912" i="1"/>
  <c r="A2912" i="1"/>
  <c r="U2941" i="1"/>
  <c r="R2941" i="1"/>
  <c r="Q2941" i="1"/>
  <c r="P2941" i="1"/>
  <c r="O2941" i="1"/>
  <c r="N2941" i="1"/>
  <c r="M2941" i="1"/>
  <c r="K2941" i="1"/>
  <c r="J2941" i="1"/>
  <c r="I2941" i="1"/>
  <c r="H2941" i="1"/>
  <c r="F2941" i="1"/>
  <c r="D2941" i="1"/>
  <c r="B2941" i="1"/>
  <c r="A2941" i="1"/>
  <c r="U2985" i="1"/>
  <c r="R2985" i="1"/>
  <c r="Q2985" i="1"/>
  <c r="P2985" i="1"/>
  <c r="O2985" i="1"/>
  <c r="N2985" i="1"/>
  <c r="M2985" i="1"/>
  <c r="K2985" i="1"/>
  <c r="J2985" i="1"/>
  <c r="I2985" i="1"/>
  <c r="H2985" i="1"/>
  <c r="F2985" i="1"/>
  <c r="E2985" i="1"/>
  <c r="D2985" i="1"/>
  <c r="B2985" i="1"/>
  <c r="A2985" i="1"/>
  <c r="U3198" i="1"/>
  <c r="R3198" i="1"/>
  <c r="Q3198" i="1"/>
  <c r="P3198" i="1"/>
  <c r="O3198" i="1"/>
  <c r="N3198" i="1"/>
  <c r="M3198" i="1"/>
  <c r="J3198" i="1"/>
  <c r="I3198" i="1"/>
  <c r="H3198" i="1"/>
  <c r="F3198" i="1"/>
  <c r="D3198" i="1"/>
  <c r="B3198" i="1"/>
  <c r="A3198" i="1"/>
  <c r="U3191" i="1"/>
  <c r="R3191" i="1"/>
  <c r="Q3191" i="1"/>
  <c r="P3191" i="1"/>
  <c r="O3191" i="1"/>
  <c r="N3191" i="1"/>
  <c r="M3191" i="1"/>
  <c r="J3191" i="1"/>
  <c r="I3191" i="1"/>
  <c r="H3191" i="1"/>
  <c r="F3191" i="1"/>
  <c r="E3191" i="1"/>
  <c r="D3191" i="1"/>
  <c r="B3191" i="1"/>
  <c r="A3191" i="1"/>
  <c r="U2878" i="1"/>
  <c r="R2878" i="1"/>
  <c r="Q2878" i="1"/>
  <c r="P2878" i="1"/>
  <c r="O2878" i="1"/>
  <c r="N2878" i="1"/>
  <c r="M2878" i="1"/>
  <c r="K2878" i="1"/>
  <c r="J2878" i="1"/>
  <c r="I2878" i="1"/>
  <c r="H2878" i="1"/>
  <c r="F2878" i="1"/>
  <c r="D2878" i="1"/>
  <c r="B2878" i="1"/>
  <c r="A2878" i="1"/>
  <c r="U2211" i="1"/>
  <c r="R2211" i="1"/>
  <c r="Q2211" i="1"/>
  <c r="P2211" i="1"/>
  <c r="O2211" i="1"/>
  <c r="N2211" i="1"/>
  <c r="M2211" i="1"/>
  <c r="K2211" i="1"/>
  <c r="J2211" i="1"/>
  <c r="I2211" i="1"/>
  <c r="H2211" i="1"/>
  <c r="F2211" i="1"/>
  <c r="D2211" i="1"/>
  <c r="B2211" i="1"/>
  <c r="A2211" i="1"/>
  <c r="U2129" i="1"/>
  <c r="R2129" i="1"/>
  <c r="Q2129" i="1"/>
  <c r="P2129" i="1"/>
  <c r="O2129" i="1"/>
  <c r="N2129" i="1"/>
  <c r="M2129" i="1"/>
  <c r="J2129" i="1"/>
  <c r="I2129" i="1"/>
  <c r="H2129" i="1"/>
  <c r="F2129" i="1"/>
  <c r="D2129" i="1"/>
  <c r="B2129" i="1"/>
  <c r="A2129" i="1"/>
  <c r="U2166" i="1"/>
  <c r="R2166" i="1"/>
  <c r="Q2166" i="1"/>
  <c r="P2166" i="1"/>
  <c r="O2166" i="1"/>
  <c r="N2166" i="1"/>
  <c r="M2166" i="1"/>
  <c r="K2166" i="1"/>
  <c r="J2166" i="1"/>
  <c r="I2166" i="1"/>
  <c r="H2166" i="1"/>
  <c r="F2166" i="1"/>
  <c r="D2166" i="1"/>
  <c r="B2166" i="1"/>
  <c r="A2166" i="1"/>
  <c r="U396" i="1"/>
  <c r="R396" i="1"/>
  <c r="Q396" i="1"/>
  <c r="P396" i="1"/>
  <c r="O396" i="1"/>
  <c r="N396" i="1"/>
  <c r="M396" i="1"/>
  <c r="K396" i="1"/>
  <c r="J396" i="1"/>
  <c r="I396" i="1"/>
  <c r="H396" i="1"/>
  <c r="F396" i="1"/>
  <c r="D396" i="1"/>
  <c r="B396" i="1"/>
  <c r="A396" i="1"/>
  <c r="U414" i="1"/>
  <c r="R414" i="1"/>
  <c r="Q414" i="1"/>
  <c r="P414" i="1"/>
  <c r="O414" i="1"/>
  <c r="N414" i="1"/>
  <c r="M414" i="1"/>
  <c r="J414" i="1"/>
  <c r="I414" i="1"/>
  <c r="H414" i="1"/>
  <c r="F414" i="1"/>
  <c r="D414" i="1"/>
  <c r="B414" i="1"/>
  <c r="A414" i="1"/>
  <c r="U562" i="1"/>
  <c r="R562" i="1"/>
  <c r="Q562" i="1"/>
  <c r="P562" i="1"/>
  <c r="O562" i="1"/>
  <c r="N562" i="1"/>
  <c r="M562" i="1"/>
  <c r="J562" i="1"/>
  <c r="I562" i="1"/>
  <c r="H562" i="1"/>
  <c r="F562" i="1"/>
  <c r="D562" i="1"/>
  <c r="B562" i="1"/>
  <c r="A562" i="1"/>
  <c r="U1030" i="1"/>
  <c r="R1030" i="1"/>
  <c r="Q1030" i="1"/>
  <c r="P1030" i="1"/>
  <c r="O1030" i="1"/>
  <c r="N1030" i="1"/>
  <c r="M1030" i="1"/>
  <c r="J1030" i="1"/>
  <c r="I1030" i="1"/>
  <c r="H1030" i="1"/>
  <c r="F1030" i="1"/>
  <c r="D1030" i="1"/>
  <c r="B1030" i="1"/>
  <c r="A1030" i="1"/>
  <c r="U1107" i="1"/>
  <c r="R1107" i="1"/>
  <c r="Q1107" i="1"/>
  <c r="P1107" i="1"/>
  <c r="O1107" i="1"/>
  <c r="N1107" i="1"/>
  <c r="M1107" i="1"/>
  <c r="J1107" i="1"/>
  <c r="I1107" i="1"/>
  <c r="H1107" i="1"/>
  <c r="F1107" i="1"/>
  <c r="D1107" i="1"/>
  <c r="B1107" i="1"/>
  <c r="A1107" i="1"/>
  <c r="U2055" i="1"/>
  <c r="R2055" i="1"/>
  <c r="Q2055" i="1"/>
  <c r="P2055" i="1"/>
  <c r="O2055" i="1"/>
  <c r="N2055" i="1"/>
  <c r="M2055" i="1"/>
  <c r="K2055" i="1"/>
  <c r="J2055" i="1"/>
  <c r="I2055" i="1"/>
  <c r="H2055" i="1"/>
  <c r="F2055" i="1"/>
  <c r="D2055" i="1"/>
  <c r="B2055" i="1"/>
  <c r="A2055" i="1"/>
  <c r="U2991" i="1"/>
  <c r="R2991" i="1"/>
  <c r="Q2991" i="1"/>
  <c r="P2991" i="1"/>
  <c r="O2991" i="1"/>
  <c r="N2991" i="1"/>
  <c r="M2991" i="1"/>
  <c r="J2991" i="1"/>
  <c r="I2991" i="1"/>
  <c r="H2991" i="1"/>
  <c r="F2991" i="1"/>
  <c r="E2991" i="1"/>
  <c r="D2991" i="1"/>
  <c r="B2991" i="1"/>
  <c r="A2991" i="1"/>
  <c r="U2918" i="1"/>
  <c r="R2918" i="1"/>
  <c r="Q2918" i="1"/>
  <c r="P2918" i="1"/>
  <c r="O2918" i="1"/>
  <c r="N2918" i="1"/>
  <c r="M2918" i="1"/>
  <c r="J2918" i="1"/>
  <c r="I2918" i="1"/>
  <c r="H2918" i="1"/>
  <c r="F2918" i="1"/>
  <c r="E2918" i="1"/>
  <c r="D2918" i="1"/>
  <c r="B2918" i="1"/>
  <c r="A2918" i="1"/>
  <c r="U2974" i="1"/>
  <c r="R2974" i="1"/>
  <c r="Q2974" i="1"/>
  <c r="P2974" i="1"/>
  <c r="O2974" i="1"/>
  <c r="N2974" i="1"/>
  <c r="M2974" i="1"/>
  <c r="J2974" i="1"/>
  <c r="I2974" i="1"/>
  <c r="H2974" i="1"/>
  <c r="F2974" i="1"/>
  <c r="D2974" i="1"/>
  <c r="B2974" i="1"/>
  <c r="A2974" i="1"/>
  <c r="U2892" i="1"/>
  <c r="R2892" i="1"/>
  <c r="Q2892" i="1"/>
  <c r="P2892" i="1"/>
  <c r="O2892" i="1"/>
  <c r="N2892" i="1"/>
  <c r="M2892" i="1"/>
  <c r="K2892" i="1"/>
  <c r="J2892" i="1"/>
  <c r="I2892" i="1"/>
  <c r="H2892" i="1"/>
  <c r="F2892" i="1"/>
  <c r="D2892" i="1"/>
  <c r="B2892" i="1"/>
  <c r="A2892" i="1"/>
  <c r="U2570" i="1"/>
  <c r="R2570" i="1"/>
  <c r="Q2570" i="1"/>
  <c r="P2570" i="1"/>
  <c r="O2570" i="1"/>
  <c r="N2570" i="1"/>
  <c r="M2570" i="1"/>
  <c r="J2570" i="1"/>
  <c r="I2570" i="1"/>
  <c r="H2570" i="1"/>
  <c r="F2570" i="1"/>
  <c r="D2570" i="1"/>
  <c r="B2570" i="1"/>
  <c r="A2570" i="1"/>
  <c r="U3066" i="1"/>
  <c r="R3066" i="1"/>
  <c r="Q3066" i="1"/>
  <c r="P3066" i="1"/>
  <c r="O3066" i="1"/>
  <c r="N3066" i="1"/>
  <c r="M3066" i="1"/>
  <c r="J3066" i="1"/>
  <c r="I3066" i="1"/>
  <c r="H3066" i="1"/>
  <c r="F3066" i="1"/>
  <c r="D3066" i="1"/>
  <c r="B3066" i="1"/>
  <c r="A3066" i="1"/>
  <c r="U2492" i="1"/>
  <c r="R2492" i="1"/>
  <c r="Q2492" i="1"/>
  <c r="P2492" i="1"/>
  <c r="O2492" i="1"/>
  <c r="N2492" i="1"/>
  <c r="M2492" i="1"/>
  <c r="K2492" i="1"/>
  <c r="J2492" i="1"/>
  <c r="I2492" i="1"/>
  <c r="H2492" i="1"/>
  <c r="F2492" i="1"/>
  <c r="D2492" i="1"/>
  <c r="B2492" i="1"/>
  <c r="A2492" i="1"/>
  <c r="U2971" i="1"/>
  <c r="R2971" i="1"/>
  <c r="Q2971" i="1"/>
  <c r="P2971" i="1"/>
  <c r="O2971" i="1"/>
  <c r="N2971" i="1"/>
  <c r="M2971" i="1"/>
  <c r="J2971" i="1"/>
  <c r="I2971" i="1"/>
  <c r="H2971" i="1"/>
  <c r="F2971" i="1"/>
  <c r="D2971" i="1"/>
  <c r="B2971" i="1"/>
  <c r="A2971" i="1"/>
  <c r="U2642" i="1"/>
  <c r="R2642" i="1"/>
  <c r="Q2642" i="1"/>
  <c r="P2642" i="1"/>
  <c r="O2642" i="1"/>
  <c r="N2642" i="1"/>
  <c r="M2642" i="1"/>
  <c r="K2642" i="1"/>
  <c r="J2642" i="1"/>
  <c r="I2642" i="1"/>
  <c r="H2642" i="1"/>
  <c r="F2642" i="1"/>
  <c r="D2642" i="1"/>
  <c r="B2642" i="1"/>
  <c r="A2642" i="1"/>
  <c r="U3223" i="1"/>
  <c r="R3223" i="1"/>
  <c r="Q3223" i="1"/>
  <c r="P3223" i="1"/>
  <c r="O3223" i="1"/>
  <c r="N3223" i="1"/>
  <c r="M3223" i="1"/>
  <c r="J3223" i="1"/>
  <c r="I3223" i="1"/>
  <c r="H3223" i="1"/>
  <c r="F3223" i="1"/>
  <c r="D3223" i="1"/>
  <c r="B3223" i="1"/>
  <c r="A3223" i="1"/>
  <c r="U2992" i="1"/>
  <c r="R2992" i="1"/>
  <c r="Q2992" i="1"/>
  <c r="P2992" i="1"/>
  <c r="O2992" i="1"/>
  <c r="N2992" i="1"/>
  <c r="M2992" i="1"/>
  <c r="J2992" i="1"/>
  <c r="I2992" i="1"/>
  <c r="H2992" i="1"/>
  <c r="G2992" i="1"/>
  <c r="F2992" i="1"/>
  <c r="D2992" i="1"/>
  <c r="B2992" i="1"/>
  <c r="A2992" i="1"/>
  <c r="U2783" i="1"/>
  <c r="R2783" i="1"/>
  <c r="Q2783" i="1"/>
  <c r="P2783" i="1"/>
  <c r="O2783" i="1"/>
  <c r="N2783" i="1"/>
  <c r="M2783" i="1"/>
  <c r="J2783" i="1"/>
  <c r="I2783" i="1"/>
  <c r="H2783" i="1"/>
  <c r="F2783" i="1"/>
  <c r="D2783" i="1"/>
  <c r="B2783" i="1"/>
  <c r="A2783" i="1"/>
  <c r="U2767" i="1"/>
  <c r="R2767" i="1"/>
  <c r="Q2767" i="1"/>
  <c r="P2767" i="1"/>
  <c r="O2767" i="1"/>
  <c r="N2767" i="1"/>
  <c r="M2767" i="1"/>
  <c r="J2767" i="1"/>
  <c r="I2767" i="1"/>
  <c r="H2767" i="1"/>
  <c r="G2767" i="1"/>
  <c r="F2767" i="1"/>
  <c r="D2767" i="1"/>
  <c r="B2767" i="1"/>
  <c r="A2767" i="1"/>
  <c r="U2782" i="1"/>
  <c r="R2782" i="1"/>
  <c r="Q2782" i="1"/>
  <c r="P2782" i="1"/>
  <c r="O2782" i="1"/>
  <c r="N2782" i="1"/>
  <c r="M2782" i="1"/>
  <c r="K2782" i="1"/>
  <c r="J2782" i="1"/>
  <c r="I2782" i="1"/>
  <c r="H2782" i="1"/>
  <c r="G2782" i="1"/>
  <c r="F2782" i="1"/>
  <c r="D2782" i="1"/>
  <c r="B2782" i="1"/>
  <c r="A2782" i="1"/>
  <c r="U2781" i="1"/>
  <c r="R2781" i="1"/>
  <c r="Q2781" i="1"/>
  <c r="P2781" i="1"/>
  <c r="O2781" i="1"/>
  <c r="N2781" i="1"/>
  <c r="M2781" i="1"/>
  <c r="J2781" i="1"/>
  <c r="I2781" i="1"/>
  <c r="H2781" i="1"/>
  <c r="G2781" i="1"/>
  <c r="F2781" i="1"/>
  <c r="D2781" i="1"/>
  <c r="B2781" i="1"/>
  <c r="A2781" i="1"/>
  <c r="U2851" i="1"/>
  <c r="R2851" i="1"/>
  <c r="Q2851" i="1"/>
  <c r="P2851" i="1"/>
  <c r="O2851" i="1"/>
  <c r="N2851" i="1"/>
  <c r="M2851" i="1"/>
  <c r="K2851" i="1"/>
  <c r="J2851" i="1"/>
  <c r="I2851" i="1"/>
  <c r="H2851" i="1"/>
  <c r="F2851" i="1"/>
  <c r="D2851" i="1"/>
  <c r="B2851" i="1"/>
  <c r="A2851" i="1"/>
  <c r="U2750" i="1"/>
  <c r="R2750" i="1"/>
  <c r="Q2750" i="1"/>
  <c r="P2750" i="1"/>
  <c r="O2750" i="1"/>
  <c r="N2750" i="1"/>
  <c r="M2750" i="1"/>
  <c r="J2750" i="1"/>
  <c r="I2750" i="1"/>
  <c r="H2750" i="1"/>
  <c r="F2750" i="1"/>
  <c r="D2750" i="1"/>
  <c r="B2750" i="1"/>
  <c r="A2750" i="1"/>
  <c r="U2816" i="1"/>
  <c r="R2816" i="1"/>
  <c r="Q2816" i="1"/>
  <c r="P2816" i="1"/>
  <c r="O2816" i="1"/>
  <c r="N2816" i="1"/>
  <c r="M2816" i="1"/>
  <c r="J2816" i="1"/>
  <c r="I2816" i="1"/>
  <c r="H2816" i="1"/>
  <c r="F2816" i="1"/>
  <c r="D2816" i="1"/>
  <c r="B2816" i="1"/>
  <c r="A2816" i="1"/>
  <c r="U2850" i="1"/>
  <c r="R2850" i="1"/>
  <c r="Q2850" i="1"/>
  <c r="P2850" i="1"/>
  <c r="O2850" i="1"/>
  <c r="N2850" i="1"/>
  <c r="M2850" i="1"/>
  <c r="J2850" i="1"/>
  <c r="I2850" i="1"/>
  <c r="H2850" i="1"/>
  <c r="F2850" i="1"/>
  <c r="D2850" i="1"/>
  <c r="B2850" i="1"/>
  <c r="A2850" i="1"/>
  <c r="U2890" i="1"/>
  <c r="R2890" i="1"/>
  <c r="Q2890" i="1"/>
  <c r="P2890" i="1"/>
  <c r="O2890" i="1"/>
  <c r="N2890" i="1"/>
  <c r="M2890" i="1"/>
  <c r="J2890" i="1"/>
  <c r="I2890" i="1"/>
  <c r="H2890" i="1"/>
  <c r="G2890" i="1"/>
  <c r="F2890" i="1"/>
  <c r="D2890" i="1"/>
  <c r="B2890" i="1"/>
  <c r="A2890" i="1"/>
  <c r="U2867" i="1"/>
  <c r="R2867" i="1"/>
  <c r="Q2867" i="1"/>
  <c r="P2867" i="1"/>
  <c r="O2867" i="1"/>
  <c r="N2867" i="1"/>
  <c r="M2867" i="1"/>
  <c r="J2867" i="1"/>
  <c r="I2867" i="1"/>
  <c r="H2867" i="1"/>
  <c r="F2867" i="1"/>
  <c r="E2867" i="1"/>
  <c r="D2867" i="1"/>
  <c r="B2867" i="1"/>
  <c r="A2867" i="1"/>
  <c r="U2849" i="1"/>
  <c r="R2849" i="1"/>
  <c r="Q2849" i="1"/>
  <c r="P2849" i="1"/>
  <c r="O2849" i="1"/>
  <c r="N2849" i="1"/>
  <c r="M2849" i="1"/>
  <c r="J2849" i="1"/>
  <c r="I2849" i="1"/>
  <c r="H2849" i="1"/>
  <c r="F2849" i="1"/>
  <c r="E2849" i="1"/>
  <c r="D2849" i="1"/>
  <c r="B2849" i="1"/>
  <c r="A2849" i="1"/>
  <c r="U2848" i="1"/>
  <c r="R2848" i="1"/>
  <c r="Q2848" i="1"/>
  <c r="P2848" i="1"/>
  <c r="O2848" i="1"/>
  <c r="N2848" i="1"/>
  <c r="M2848" i="1"/>
  <c r="J2848" i="1"/>
  <c r="I2848" i="1"/>
  <c r="H2848" i="1"/>
  <c r="F2848" i="1"/>
  <c r="D2848" i="1"/>
  <c r="B2848" i="1"/>
  <c r="A2848" i="1"/>
  <c r="U2847" i="1"/>
  <c r="R2847" i="1"/>
  <c r="Q2847" i="1"/>
  <c r="P2847" i="1"/>
  <c r="O2847" i="1"/>
  <c r="N2847" i="1"/>
  <c r="M2847" i="1"/>
  <c r="K2847" i="1"/>
  <c r="J2847" i="1"/>
  <c r="I2847" i="1"/>
  <c r="H2847" i="1"/>
  <c r="F2847" i="1"/>
  <c r="D2847" i="1"/>
  <c r="B2847" i="1"/>
  <c r="A2847" i="1"/>
  <c r="U2846" i="1"/>
  <c r="R2846" i="1"/>
  <c r="Q2846" i="1"/>
  <c r="P2846" i="1"/>
  <c r="O2846" i="1"/>
  <c r="N2846" i="1"/>
  <c r="M2846" i="1"/>
  <c r="J2846" i="1"/>
  <c r="I2846" i="1"/>
  <c r="H2846" i="1"/>
  <c r="F2846" i="1"/>
  <c r="D2846" i="1"/>
  <c r="B2846" i="1"/>
  <c r="A2846" i="1"/>
  <c r="U2845" i="1"/>
  <c r="R2845" i="1"/>
  <c r="Q2845" i="1"/>
  <c r="P2845" i="1"/>
  <c r="O2845" i="1"/>
  <c r="N2845" i="1"/>
  <c r="M2845" i="1"/>
  <c r="J2845" i="1"/>
  <c r="I2845" i="1"/>
  <c r="H2845" i="1"/>
  <c r="F2845" i="1"/>
  <c r="D2845" i="1"/>
  <c r="B2845" i="1"/>
  <c r="A2845" i="1"/>
  <c r="U182" i="1"/>
  <c r="R182" i="1"/>
  <c r="Q182" i="1"/>
  <c r="P182" i="1"/>
  <c r="O182" i="1"/>
  <c r="N182" i="1"/>
  <c r="M182" i="1"/>
  <c r="J182" i="1"/>
  <c r="I182" i="1"/>
  <c r="H182" i="1"/>
  <c r="F182" i="1"/>
  <c r="D182" i="1"/>
  <c r="A182" i="1"/>
  <c r="U442" i="1"/>
  <c r="R442" i="1"/>
  <c r="Q442" i="1"/>
  <c r="P442" i="1"/>
  <c r="O442" i="1"/>
  <c r="N442" i="1"/>
  <c r="M442" i="1"/>
  <c r="J442" i="1"/>
  <c r="I442" i="1"/>
  <c r="H442" i="1"/>
  <c r="F442" i="1"/>
  <c r="D442" i="1"/>
  <c r="B442" i="1"/>
  <c r="A442" i="1"/>
  <c r="U734" i="1"/>
  <c r="R734" i="1"/>
  <c r="Q734" i="1"/>
  <c r="P734" i="1"/>
  <c r="O734" i="1"/>
  <c r="N734" i="1"/>
  <c r="M734" i="1"/>
  <c r="I734" i="1"/>
  <c r="H734" i="1"/>
  <c r="F734" i="1"/>
  <c r="D734" i="1"/>
  <c r="B734" i="1"/>
  <c r="A734" i="1"/>
  <c r="U825" i="1"/>
  <c r="R825" i="1"/>
  <c r="Q825" i="1"/>
  <c r="P825" i="1"/>
  <c r="O825" i="1"/>
  <c r="N825" i="1"/>
  <c r="M825" i="1"/>
  <c r="J825" i="1"/>
  <c r="I825" i="1"/>
  <c r="H825" i="1"/>
  <c r="F825" i="1"/>
  <c r="D825" i="1"/>
  <c r="B825" i="1"/>
  <c r="A825" i="1"/>
  <c r="U924" i="1"/>
  <c r="R924" i="1"/>
  <c r="Q924" i="1"/>
  <c r="P924" i="1"/>
  <c r="O924" i="1"/>
  <c r="N924" i="1"/>
  <c r="M924" i="1"/>
  <c r="I924" i="1"/>
  <c r="H924" i="1"/>
  <c r="F924" i="1"/>
  <c r="D924" i="1"/>
  <c r="B924" i="1"/>
  <c r="A924" i="1"/>
  <c r="U1214" i="1"/>
  <c r="R1214" i="1"/>
  <c r="Q1214" i="1"/>
  <c r="P1214" i="1"/>
  <c r="O1214" i="1"/>
  <c r="N1214" i="1"/>
  <c r="M1214" i="1"/>
  <c r="J1214" i="1"/>
  <c r="I1214" i="1"/>
  <c r="H1214" i="1"/>
  <c r="F1214" i="1"/>
  <c r="D1214" i="1"/>
  <c r="B1214" i="1"/>
  <c r="A1214" i="1"/>
  <c r="U1364" i="1"/>
  <c r="R1364" i="1"/>
  <c r="Q1364" i="1"/>
  <c r="P1364" i="1"/>
  <c r="O1364" i="1"/>
  <c r="N1364" i="1"/>
  <c r="M1364" i="1"/>
  <c r="I1364" i="1"/>
  <c r="H1364" i="1"/>
  <c r="G1364" i="1"/>
  <c r="F1364" i="1"/>
  <c r="D1364" i="1"/>
  <c r="B1364" i="1"/>
  <c r="A1364" i="1"/>
  <c r="U1413" i="1"/>
  <c r="R1413" i="1"/>
  <c r="Q1413" i="1"/>
  <c r="P1413" i="1"/>
  <c r="O1413" i="1"/>
  <c r="N1413" i="1"/>
  <c r="M1413" i="1"/>
  <c r="J1413" i="1"/>
  <c r="I1413" i="1"/>
  <c r="H1413" i="1"/>
  <c r="G1413" i="1"/>
  <c r="F1413" i="1"/>
  <c r="D1413" i="1"/>
  <c r="B1413" i="1"/>
  <c r="A1413" i="1"/>
  <c r="U1439" i="1"/>
  <c r="R1439" i="1"/>
  <c r="Q1439" i="1"/>
  <c r="P1439" i="1"/>
  <c r="O1439" i="1"/>
  <c r="N1439" i="1"/>
  <c r="M1439" i="1"/>
  <c r="K1439" i="1"/>
  <c r="J1439" i="1"/>
  <c r="I1439" i="1"/>
  <c r="H1439" i="1"/>
  <c r="F1439" i="1"/>
  <c r="D1439" i="1"/>
  <c r="B1439" i="1"/>
  <c r="A1439" i="1"/>
  <c r="U1568" i="1"/>
  <c r="R1568" i="1"/>
  <c r="Q1568" i="1"/>
  <c r="P1568" i="1"/>
  <c r="O1568" i="1"/>
  <c r="N1568" i="1"/>
  <c r="M1568" i="1"/>
  <c r="J1568" i="1"/>
  <c r="I1568" i="1"/>
  <c r="H1568" i="1"/>
  <c r="F1568" i="1"/>
  <c r="D1568" i="1"/>
  <c r="B1568" i="1"/>
  <c r="A1568" i="1"/>
  <c r="U1902" i="1"/>
  <c r="R1902" i="1"/>
  <c r="Q1902" i="1"/>
  <c r="P1902" i="1"/>
  <c r="O1902" i="1"/>
  <c r="N1902" i="1"/>
  <c r="M1902" i="1"/>
  <c r="J1902" i="1"/>
  <c r="I1902" i="1"/>
  <c r="H1902" i="1"/>
  <c r="F1902" i="1"/>
  <c r="D1902" i="1"/>
  <c r="B1902" i="1"/>
  <c r="A1902" i="1"/>
  <c r="U2020" i="1"/>
  <c r="R2020" i="1"/>
  <c r="Q2020" i="1"/>
  <c r="P2020" i="1"/>
  <c r="O2020" i="1"/>
  <c r="N2020" i="1"/>
  <c r="M2020" i="1"/>
  <c r="J2020" i="1"/>
  <c r="I2020" i="1"/>
  <c r="H2020" i="1"/>
  <c r="F2020" i="1"/>
  <c r="D2020" i="1"/>
  <c r="B2020" i="1"/>
  <c r="A2020" i="1"/>
  <c r="U2039" i="1"/>
  <c r="R2039" i="1"/>
  <c r="Q2039" i="1"/>
  <c r="P2039" i="1"/>
  <c r="O2039" i="1"/>
  <c r="N2039" i="1"/>
  <c r="M2039" i="1"/>
  <c r="K2039" i="1"/>
  <c r="J2039" i="1"/>
  <c r="I2039" i="1"/>
  <c r="H2039" i="1"/>
  <c r="F2039" i="1"/>
  <c r="E2039" i="1"/>
  <c r="D2039" i="1"/>
  <c r="B2039" i="1"/>
  <c r="A2039" i="1"/>
  <c r="U2051" i="1"/>
  <c r="R2051" i="1"/>
  <c r="Q2051" i="1"/>
  <c r="P2051" i="1"/>
  <c r="O2051" i="1"/>
  <c r="N2051" i="1"/>
  <c r="M2051" i="1"/>
  <c r="K2051" i="1"/>
  <c r="J2051" i="1"/>
  <c r="I2051" i="1"/>
  <c r="H2051" i="1"/>
  <c r="F2051" i="1"/>
  <c r="D2051" i="1"/>
  <c r="B2051" i="1"/>
  <c r="A2051" i="1"/>
  <c r="U2334" i="1"/>
  <c r="R2334" i="1"/>
  <c r="Q2334" i="1"/>
  <c r="P2334" i="1"/>
  <c r="O2334" i="1"/>
  <c r="N2334" i="1"/>
  <c r="M2334" i="1"/>
  <c r="K2334" i="1"/>
  <c r="J2334" i="1"/>
  <c r="I2334" i="1"/>
  <c r="H2334" i="1"/>
  <c r="F2334" i="1"/>
  <c r="D2334" i="1"/>
  <c r="B2334" i="1"/>
  <c r="A2334" i="1"/>
  <c r="U2274" i="1"/>
  <c r="R2274" i="1"/>
  <c r="Q2274" i="1"/>
  <c r="P2274" i="1"/>
  <c r="O2274" i="1"/>
  <c r="N2274" i="1"/>
  <c r="M2274" i="1"/>
  <c r="K2274" i="1"/>
  <c r="J2274" i="1"/>
  <c r="I2274" i="1"/>
  <c r="H2274" i="1"/>
  <c r="F2274" i="1"/>
  <c r="D2274" i="1"/>
  <c r="B2274" i="1"/>
  <c r="A2274" i="1"/>
  <c r="U2452" i="1"/>
  <c r="R2452" i="1"/>
  <c r="Q2452" i="1"/>
  <c r="P2452" i="1"/>
  <c r="O2452" i="1"/>
  <c r="N2452" i="1"/>
  <c r="M2452" i="1"/>
  <c r="J2452" i="1"/>
  <c r="I2452" i="1"/>
  <c r="H2452" i="1"/>
  <c r="G2452" i="1"/>
  <c r="F2452" i="1"/>
  <c r="D2452" i="1"/>
  <c r="B2452" i="1"/>
  <c r="A2452" i="1"/>
  <c r="U2748" i="1"/>
  <c r="R2748" i="1"/>
  <c r="Q2748" i="1"/>
  <c r="P2748" i="1"/>
  <c r="O2748" i="1"/>
  <c r="N2748" i="1"/>
  <c r="M2748" i="1"/>
  <c r="J2748" i="1"/>
  <c r="I2748" i="1"/>
  <c r="H2748" i="1"/>
  <c r="F2748" i="1"/>
  <c r="E2748" i="1"/>
  <c r="D2748" i="1"/>
  <c r="B2748" i="1"/>
  <c r="A2748" i="1"/>
  <c r="U2746" i="1"/>
  <c r="R2746" i="1"/>
  <c r="Q2746" i="1"/>
  <c r="P2746" i="1"/>
  <c r="O2746" i="1"/>
  <c r="N2746" i="1"/>
  <c r="M2746" i="1"/>
  <c r="J2746" i="1"/>
  <c r="I2746" i="1"/>
  <c r="H2746" i="1"/>
  <c r="F2746" i="1"/>
  <c r="D2746" i="1"/>
  <c r="B2746" i="1"/>
  <c r="A2746" i="1"/>
  <c r="U2779" i="1"/>
  <c r="R2779" i="1"/>
  <c r="Q2779" i="1"/>
  <c r="P2779" i="1"/>
  <c r="O2779" i="1"/>
  <c r="N2779" i="1"/>
  <c r="M2779" i="1"/>
  <c r="J2779" i="1"/>
  <c r="I2779" i="1"/>
  <c r="H2779" i="1"/>
  <c r="F2779" i="1"/>
  <c r="D2779" i="1"/>
  <c r="B2779" i="1"/>
  <c r="A2779" i="1"/>
  <c r="U2084" i="1"/>
  <c r="R2084" i="1"/>
  <c r="Q2084" i="1"/>
  <c r="P2084" i="1"/>
  <c r="O2084" i="1"/>
  <c r="N2084" i="1"/>
  <c r="M2084" i="1"/>
  <c r="J2084" i="1"/>
  <c r="I2084" i="1"/>
  <c r="H2084" i="1"/>
  <c r="F2084" i="1"/>
  <c r="D2084" i="1"/>
  <c r="B2084" i="1"/>
  <c r="A2084" i="1"/>
  <c r="U2122" i="1"/>
  <c r="R2122" i="1"/>
  <c r="Q2122" i="1"/>
  <c r="P2122" i="1"/>
  <c r="O2122" i="1"/>
  <c r="N2122" i="1"/>
  <c r="M2122" i="1"/>
  <c r="K2122" i="1"/>
  <c r="J2122" i="1"/>
  <c r="I2122" i="1"/>
  <c r="H2122" i="1"/>
  <c r="F2122" i="1"/>
  <c r="D2122" i="1"/>
  <c r="B2122" i="1"/>
  <c r="A2122" i="1"/>
  <c r="U2798" i="1"/>
  <c r="R2798" i="1"/>
  <c r="Q2798" i="1"/>
  <c r="P2798" i="1"/>
  <c r="O2798" i="1"/>
  <c r="N2798" i="1"/>
  <c r="M2798" i="1"/>
  <c r="J2798" i="1"/>
  <c r="I2798" i="1"/>
  <c r="H2798" i="1"/>
  <c r="F2798" i="1"/>
  <c r="D2798" i="1"/>
  <c r="B2798" i="1"/>
  <c r="A2798" i="1"/>
  <c r="U159" i="1"/>
  <c r="R159" i="1"/>
  <c r="Q159" i="1"/>
  <c r="P159" i="1"/>
  <c r="O159" i="1"/>
  <c r="N159" i="1"/>
  <c r="M159" i="1"/>
  <c r="J159" i="1"/>
  <c r="I159" i="1"/>
  <c r="H159" i="1"/>
  <c r="F159" i="1"/>
  <c r="D159" i="1"/>
  <c r="B159" i="1"/>
  <c r="A159" i="1"/>
  <c r="U383" i="1"/>
  <c r="R383" i="1"/>
  <c r="Q383" i="1"/>
  <c r="P383" i="1"/>
  <c r="O383" i="1"/>
  <c r="N383" i="1"/>
  <c r="M383" i="1"/>
  <c r="I383" i="1"/>
  <c r="H383" i="1"/>
  <c r="F383" i="1"/>
  <c r="D383" i="1"/>
  <c r="B383" i="1"/>
  <c r="A383" i="1"/>
  <c r="U219" i="1"/>
  <c r="R219" i="1"/>
  <c r="Q219" i="1"/>
  <c r="P219" i="1"/>
  <c r="O219" i="1"/>
  <c r="N219" i="1"/>
  <c r="M219" i="1"/>
  <c r="J219" i="1"/>
  <c r="I219" i="1"/>
  <c r="H219" i="1"/>
  <c r="F219" i="1"/>
  <c r="D219" i="1"/>
  <c r="B219" i="1"/>
  <c r="A219" i="1"/>
  <c r="U632" i="1"/>
  <c r="R632" i="1"/>
  <c r="Q632" i="1"/>
  <c r="P632" i="1"/>
  <c r="O632" i="1"/>
  <c r="N632" i="1"/>
  <c r="M632" i="1"/>
  <c r="J632" i="1"/>
  <c r="I632" i="1"/>
  <c r="H632" i="1"/>
  <c r="F632" i="1"/>
  <c r="D632" i="1"/>
  <c r="B632" i="1"/>
  <c r="A632" i="1"/>
  <c r="U952" i="1"/>
  <c r="R952" i="1"/>
  <c r="Q952" i="1"/>
  <c r="P952" i="1"/>
  <c r="O952" i="1"/>
  <c r="N952" i="1"/>
  <c r="M952" i="1"/>
  <c r="I952" i="1"/>
  <c r="H952" i="1"/>
  <c r="F952" i="1"/>
  <c r="D952" i="1"/>
  <c r="A952" i="1"/>
  <c r="U951" i="1"/>
  <c r="R951" i="1"/>
  <c r="Q951" i="1"/>
  <c r="P951" i="1"/>
  <c r="O951" i="1"/>
  <c r="N951" i="1"/>
  <c r="M951" i="1"/>
  <c r="I951" i="1"/>
  <c r="H951" i="1"/>
  <c r="F951" i="1"/>
  <c r="D951" i="1"/>
  <c r="A951" i="1"/>
  <c r="U1225" i="1"/>
  <c r="R1225" i="1"/>
  <c r="Q1225" i="1"/>
  <c r="P1225" i="1"/>
  <c r="O1225" i="1"/>
  <c r="N1225" i="1"/>
  <c r="M1225" i="1"/>
  <c r="J1225" i="1"/>
  <c r="I1225" i="1"/>
  <c r="H1225" i="1"/>
  <c r="F1225" i="1"/>
  <c r="D1225" i="1"/>
  <c r="B1225" i="1"/>
  <c r="A1225" i="1"/>
  <c r="U1138" i="1"/>
  <c r="R1138" i="1"/>
  <c r="Q1138" i="1"/>
  <c r="P1138" i="1"/>
  <c r="O1138" i="1"/>
  <c r="N1138" i="1"/>
  <c r="M1138" i="1"/>
  <c r="J1138" i="1"/>
  <c r="I1138" i="1"/>
  <c r="H1138" i="1"/>
  <c r="F1138" i="1"/>
  <c r="D1138" i="1"/>
  <c r="B1138" i="1"/>
  <c r="A1138" i="1"/>
  <c r="U1489" i="1"/>
  <c r="R1489" i="1"/>
  <c r="Q1489" i="1"/>
  <c r="P1489" i="1"/>
  <c r="O1489" i="1"/>
  <c r="N1489" i="1"/>
  <c r="M1489" i="1"/>
  <c r="J1489" i="1"/>
  <c r="I1489" i="1"/>
  <c r="H1489" i="1"/>
  <c r="F1489" i="1"/>
  <c r="D1489" i="1"/>
  <c r="B1489" i="1"/>
  <c r="A1489" i="1"/>
  <c r="U2713" i="1"/>
  <c r="R2713" i="1"/>
  <c r="Q2713" i="1"/>
  <c r="P2713" i="1"/>
  <c r="O2713" i="1"/>
  <c r="N2713" i="1"/>
  <c r="M2713" i="1"/>
  <c r="K2713" i="1"/>
  <c r="J2713" i="1"/>
  <c r="I2713" i="1"/>
  <c r="H2713" i="1"/>
  <c r="F2713" i="1"/>
  <c r="D2713" i="1"/>
  <c r="B2713" i="1"/>
  <c r="A2713" i="1"/>
  <c r="U1737" i="1"/>
  <c r="R1737" i="1"/>
  <c r="Q1737" i="1"/>
  <c r="P1737" i="1"/>
  <c r="O1737" i="1"/>
  <c r="N1737" i="1"/>
  <c r="M1737" i="1"/>
  <c r="K1737" i="1"/>
  <c r="J1737" i="1"/>
  <c r="I1737" i="1"/>
  <c r="H1737" i="1"/>
  <c r="F1737" i="1"/>
  <c r="D1737" i="1"/>
  <c r="B1737" i="1"/>
  <c r="A1737" i="1"/>
  <c r="U2574" i="1"/>
  <c r="R2574" i="1"/>
  <c r="Q2574" i="1"/>
  <c r="P2574" i="1"/>
  <c r="O2574" i="1"/>
  <c r="N2574" i="1"/>
  <c r="M2574" i="1"/>
  <c r="K2574" i="1"/>
  <c r="J2574" i="1"/>
  <c r="I2574" i="1"/>
  <c r="H2574" i="1"/>
  <c r="F2574" i="1"/>
  <c r="E2574" i="1"/>
  <c r="D2574" i="1"/>
  <c r="B2574" i="1"/>
  <c r="A2574" i="1"/>
  <c r="U2573" i="1"/>
  <c r="R2573" i="1"/>
  <c r="Q2573" i="1"/>
  <c r="P2573" i="1"/>
  <c r="O2573" i="1"/>
  <c r="N2573" i="1"/>
  <c r="M2573" i="1"/>
  <c r="K2573" i="1"/>
  <c r="J2573" i="1"/>
  <c r="I2573" i="1"/>
  <c r="H2573" i="1"/>
  <c r="F2573" i="1"/>
  <c r="D2573" i="1"/>
  <c r="B2573" i="1"/>
  <c r="A2573" i="1"/>
  <c r="U2822" i="1"/>
  <c r="R2822" i="1"/>
  <c r="Q2822" i="1"/>
  <c r="P2822" i="1"/>
  <c r="O2822" i="1"/>
  <c r="N2822" i="1"/>
  <c r="M2822" i="1"/>
  <c r="K2822" i="1"/>
  <c r="J2822" i="1"/>
  <c r="I2822" i="1"/>
  <c r="H2822" i="1"/>
  <c r="G2822" i="1"/>
  <c r="F2822" i="1"/>
  <c r="E2822" i="1"/>
  <c r="D2822" i="1"/>
  <c r="B2822" i="1"/>
  <c r="A2822" i="1"/>
  <c r="U2819" i="1"/>
  <c r="R2819" i="1"/>
  <c r="Q2819" i="1"/>
  <c r="P2819" i="1"/>
  <c r="O2819" i="1"/>
  <c r="N2819" i="1"/>
  <c r="M2819" i="1"/>
  <c r="K2819" i="1"/>
  <c r="J2819" i="1"/>
  <c r="I2819" i="1"/>
  <c r="H2819" i="1"/>
  <c r="F2819" i="1"/>
  <c r="D2819" i="1"/>
  <c r="B2819" i="1"/>
  <c r="A2819" i="1"/>
  <c r="U328" i="1"/>
  <c r="R328" i="1"/>
  <c r="Q328" i="1"/>
  <c r="P328" i="1"/>
  <c r="O328" i="1"/>
  <c r="N328" i="1"/>
  <c r="M328" i="1"/>
  <c r="I328" i="1"/>
  <c r="H328" i="1"/>
  <c r="F328" i="1"/>
  <c r="D328" i="1"/>
  <c r="B328" i="1"/>
  <c r="A328" i="1"/>
  <c r="U1581" i="1"/>
  <c r="R1581" i="1"/>
  <c r="Q1581" i="1"/>
  <c r="P1581" i="1"/>
  <c r="O1581" i="1"/>
  <c r="N1581" i="1"/>
  <c r="M1581" i="1"/>
  <c r="J1581" i="1"/>
  <c r="I1581" i="1"/>
  <c r="H1581" i="1"/>
  <c r="F1581" i="1"/>
  <c r="D1581" i="1"/>
  <c r="B1581" i="1"/>
  <c r="A1581" i="1"/>
  <c r="U1149" i="1"/>
  <c r="R1149" i="1"/>
  <c r="Q1149" i="1"/>
  <c r="P1149" i="1"/>
  <c r="O1149" i="1"/>
  <c r="N1149" i="1"/>
  <c r="M1149" i="1"/>
  <c r="J1149" i="1"/>
  <c r="I1149" i="1"/>
  <c r="H1149" i="1"/>
  <c r="G1149" i="1"/>
  <c r="F1149" i="1"/>
  <c r="D1149" i="1"/>
  <c r="B1149" i="1"/>
  <c r="A1149" i="1"/>
  <c r="U46" i="1"/>
  <c r="R46" i="1"/>
  <c r="Q46" i="1"/>
  <c r="P46" i="1"/>
  <c r="O46" i="1"/>
  <c r="N46" i="1"/>
  <c r="M46" i="1"/>
  <c r="I46" i="1"/>
  <c r="H46" i="1"/>
  <c r="F46" i="1"/>
  <c r="D46" i="1"/>
  <c r="A46" i="1"/>
  <c r="U280" i="1"/>
  <c r="R280" i="1"/>
  <c r="Q280" i="1"/>
  <c r="P280" i="1"/>
  <c r="O280" i="1"/>
  <c r="N280" i="1"/>
  <c r="M280" i="1"/>
  <c r="I280" i="1"/>
  <c r="H280" i="1"/>
  <c r="F280" i="1"/>
  <c r="D280" i="1"/>
  <c r="B280" i="1"/>
  <c r="A280" i="1"/>
  <c r="U769" i="1"/>
  <c r="R769" i="1"/>
  <c r="Q769" i="1"/>
  <c r="P769" i="1"/>
  <c r="O769" i="1"/>
  <c r="N769" i="1"/>
  <c r="M769" i="1"/>
  <c r="I769" i="1"/>
  <c r="H769" i="1"/>
  <c r="F769" i="1"/>
  <c r="D769" i="1"/>
  <c r="B769" i="1"/>
  <c r="A769" i="1"/>
  <c r="U821" i="1"/>
  <c r="R821" i="1"/>
  <c r="Q821" i="1"/>
  <c r="P821" i="1"/>
  <c r="O821" i="1"/>
  <c r="N821" i="1"/>
  <c r="M821" i="1"/>
  <c r="J821" i="1"/>
  <c r="I821" i="1"/>
  <c r="H821" i="1"/>
  <c r="F821" i="1"/>
  <c r="D821" i="1"/>
  <c r="B821" i="1"/>
  <c r="A821" i="1"/>
  <c r="U768" i="1"/>
  <c r="R768" i="1"/>
  <c r="Q768" i="1"/>
  <c r="P768" i="1"/>
  <c r="O768" i="1"/>
  <c r="N768" i="1"/>
  <c r="M768" i="1"/>
  <c r="J768" i="1"/>
  <c r="I768" i="1"/>
  <c r="H768" i="1"/>
  <c r="F768" i="1"/>
  <c r="D768" i="1"/>
  <c r="B768" i="1"/>
  <c r="A768" i="1"/>
  <c r="U990" i="1"/>
  <c r="R990" i="1"/>
  <c r="Q990" i="1"/>
  <c r="P990" i="1"/>
  <c r="O990" i="1"/>
  <c r="N990" i="1"/>
  <c r="M990" i="1"/>
  <c r="J990" i="1"/>
  <c r="I990" i="1"/>
  <c r="H990" i="1"/>
  <c r="F990" i="1"/>
  <c r="D990" i="1"/>
  <c r="B990" i="1"/>
  <c r="A990" i="1"/>
  <c r="U1105" i="1"/>
  <c r="R1105" i="1"/>
  <c r="Q1105" i="1"/>
  <c r="P1105" i="1"/>
  <c r="O1105" i="1"/>
  <c r="N1105" i="1"/>
  <c r="M1105" i="1"/>
  <c r="I1105" i="1"/>
  <c r="H1105" i="1"/>
  <c r="F1105" i="1"/>
  <c r="D1105" i="1"/>
  <c r="A1105" i="1"/>
  <c r="U1217" i="1"/>
  <c r="R1217" i="1"/>
  <c r="Q1217" i="1"/>
  <c r="P1217" i="1"/>
  <c r="O1217" i="1"/>
  <c r="N1217" i="1"/>
  <c r="M1217" i="1"/>
  <c r="I1217" i="1"/>
  <c r="H1217" i="1"/>
  <c r="F1217" i="1"/>
  <c r="D1217" i="1"/>
  <c r="B1217" i="1"/>
  <c r="A1217" i="1"/>
  <c r="U1115" i="1"/>
  <c r="R1115" i="1"/>
  <c r="Q1115" i="1"/>
  <c r="P1115" i="1"/>
  <c r="O1115" i="1"/>
  <c r="N1115" i="1"/>
  <c r="M1115" i="1"/>
  <c r="I1115" i="1"/>
  <c r="H1115" i="1"/>
  <c r="F1115" i="1"/>
  <c r="D1115" i="1"/>
  <c r="B1115" i="1"/>
  <c r="A1115" i="1"/>
  <c r="U1106" i="1"/>
  <c r="R1106" i="1"/>
  <c r="Q1106" i="1"/>
  <c r="P1106" i="1"/>
  <c r="O1106" i="1"/>
  <c r="N1106" i="1"/>
  <c r="M1106" i="1"/>
  <c r="I1106" i="1"/>
  <c r="H1106" i="1"/>
  <c r="F1106" i="1"/>
  <c r="D1106" i="1"/>
  <c r="B1106" i="1"/>
  <c r="A1106" i="1"/>
  <c r="U1033" i="1"/>
  <c r="R1033" i="1"/>
  <c r="Q1033" i="1"/>
  <c r="P1033" i="1"/>
  <c r="O1033" i="1"/>
  <c r="N1033" i="1"/>
  <c r="M1033" i="1"/>
  <c r="J1033" i="1"/>
  <c r="I1033" i="1"/>
  <c r="H1033" i="1"/>
  <c r="F1033" i="1"/>
  <c r="D1033" i="1"/>
  <c r="B1033" i="1"/>
  <c r="A1033" i="1"/>
  <c r="U1630" i="1"/>
  <c r="R1630" i="1"/>
  <c r="Q1630" i="1"/>
  <c r="P1630" i="1"/>
  <c r="O1630" i="1"/>
  <c r="N1630" i="1"/>
  <c r="M1630" i="1"/>
  <c r="I1630" i="1"/>
  <c r="H1630" i="1"/>
  <c r="F1630" i="1"/>
  <c r="D1630" i="1"/>
  <c r="B1630" i="1"/>
  <c r="A1630" i="1"/>
  <c r="U1963" i="1"/>
  <c r="R1963" i="1"/>
  <c r="Q1963" i="1"/>
  <c r="P1963" i="1"/>
  <c r="O1963" i="1"/>
  <c r="N1963" i="1"/>
  <c r="M1963" i="1"/>
  <c r="J1963" i="1"/>
  <c r="I1963" i="1"/>
  <c r="H1963" i="1"/>
  <c r="F1963" i="1"/>
  <c r="E1963" i="1"/>
  <c r="D1963" i="1"/>
  <c r="B1963" i="1"/>
  <c r="A1963" i="1"/>
  <c r="U1962" i="1"/>
  <c r="R1962" i="1"/>
  <c r="Q1962" i="1"/>
  <c r="P1962" i="1"/>
  <c r="O1962" i="1"/>
  <c r="N1962" i="1"/>
  <c r="M1962" i="1"/>
  <c r="I1962" i="1"/>
  <c r="H1962" i="1"/>
  <c r="F1962" i="1"/>
  <c r="D1962" i="1"/>
  <c r="B1962" i="1"/>
  <c r="A1962" i="1"/>
  <c r="U2000" i="1"/>
  <c r="R2000" i="1"/>
  <c r="Q2000" i="1"/>
  <c r="P2000" i="1"/>
  <c r="O2000" i="1"/>
  <c r="N2000" i="1"/>
  <c r="M2000" i="1"/>
  <c r="J2000" i="1"/>
  <c r="I2000" i="1"/>
  <c r="H2000" i="1"/>
  <c r="F2000" i="1"/>
  <c r="D2000" i="1"/>
  <c r="B2000" i="1"/>
  <c r="A2000" i="1"/>
  <c r="U2647" i="1"/>
  <c r="R2647" i="1"/>
  <c r="Q2647" i="1"/>
  <c r="P2647" i="1"/>
  <c r="O2647" i="1"/>
  <c r="N2647" i="1"/>
  <c r="M2647" i="1"/>
  <c r="K2647" i="1"/>
  <c r="J2647" i="1"/>
  <c r="I2647" i="1"/>
  <c r="H2647" i="1"/>
  <c r="F2647" i="1"/>
  <c r="D2647" i="1"/>
  <c r="B2647" i="1"/>
  <c r="A2647" i="1"/>
  <c r="U2747" i="1"/>
  <c r="R2747" i="1"/>
  <c r="Q2747" i="1"/>
  <c r="P2747" i="1"/>
  <c r="O2747" i="1"/>
  <c r="N2747" i="1"/>
  <c r="M2747" i="1"/>
  <c r="K2747" i="1"/>
  <c r="J2747" i="1"/>
  <c r="I2747" i="1"/>
  <c r="H2747" i="1"/>
  <c r="F2747" i="1"/>
  <c r="D2747" i="1"/>
  <c r="B2747" i="1"/>
  <c r="A2747" i="1"/>
  <c r="U2191" i="1"/>
  <c r="R2191" i="1"/>
  <c r="Q2191" i="1"/>
  <c r="P2191" i="1"/>
  <c r="O2191" i="1"/>
  <c r="N2191" i="1"/>
  <c r="M2191" i="1"/>
  <c r="K2191" i="1"/>
  <c r="J2191" i="1"/>
  <c r="I2191" i="1"/>
  <c r="H2191" i="1"/>
  <c r="F2191" i="1"/>
  <c r="D2191" i="1"/>
  <c r="B2191" i="1"/>
  <c r="A2191" i="1"/>
  <c r="U2937" i="1"/>
  <c r="R2937" i="1"/>
  <c r="Q2937" i="1"/>
  <c r="P2937" i="1"/>
  <c r="O2937" i="1"/>
  <c r="N2937" i="1"/>
  <c r="M2937" i="1"/>
  <c r="K2937" i="1"/>
  <c r="J2937" i="1"/>
  <c r="I2937" i="1"/>
  <c r="H2937" i="1"/>
  <c r="F2937" i="1"/>
  <c r="D2937" i="1"/>
  <c r="B2937" i="1"/>
  <c r="A2937" i="1"/>
  <c r="U1961" i="1"/>
  <c r="R1961" i="1"/>
  <c r="Q1961" i="1"/>
  <c r="P1961" i="1"/>
  <c r="O1961" i="1"/>
  <c r="N1961" i="1"/>
  <c r="M1961" i="1"/>
  <c r="K1961" i="1"/>
  <c r="J1961" i="1"/>
  <c r="I1961" i="1"/>
  <c r="H1961" i="1"/>
  <c r="F1961" i="1"/>
  <c r="D1961" i="1"/>
  <c r="B1961" i="1"/>
  <c r="A1961" i="1"/>
  <c r="U9" i="1"/>
  <c r="R9" i="1"/>
  <c r="Q9" i="1"/>
  <c r="P9" i="1"/>
  <c r="O9" i="1"/>
  <c r="N9" i="1"/>
  <c r="M9" i="1"/>
  <c r="I9" i="1"/>
  <c r="H9" i="1"/>
  <c r="F9" i="1"/>
  <c r="D9" i="1"/>
  <c r="A9" i="1"/>
  <c r="U310" i="1"/>
  <c r="R310" i="1"/>
  <c r="Q310" i="1"/>
  <c r="P310" i="1"/>
  <c r="O310" i="1"/>
  <c r="N310" i="1"/>
  <c r="M310" i="1"/>
  <c r="J310" i="1"/>
  <c r="I310" i="1"/>
  <c r="H310" i="1"/>
  <c r="F310" i="1"/>
  <c r="D310" i="1"/>
  <c r="A310" i="1"/>
  <c r="U539" i="1"/>
  <c r="R539" i="1"/>
  <c r="Q539" i="1"/>
  <c r="P539" i="1"/>
  <c r="O539" i="1"/>
  <c r="N539" i="1"/>
  <c r="M539" i="1"/>
  <c r="I539" i="1"/>
  <c r="H539" i="1"/>
  <c r="F539" i="1"/>
  <c r="D539" i="1"/>
  <c r="A539" i="1"/>
  <c r="U565" i="1"/>
  <c r="R565" i="1"/>
  <c r="Q565" i="1"/>
  <c r="P565" i="1"/>
  <c r="O565" i="1"/>
  <c r="N565" i="1"/>
  <c r="M565" i="1"/>
  <c r="I565" i="1"/>
  <c r="H565" i="1"/>
  <c r="F565" i="1"/>
  <c r="D565" i="1"/>
  <c r="A565" i="1"/>
  <c r="U548" i="1"/>
  <c r="R548" i="1"/>
  <c r="Q548" i="1"/>
  <c r="P548" i="1"/>
  <c r="O548" i="1"/>
  <c r="N548" i="1"/>
  <c r="M548" i="1"/>
  <c r="J548" i="1"/>
  <c r="I548" i="1"/>
  <c r="H548" i="1"/>
  <c r="F548" i="1"/>
  <c r="D548" i="1"/>
  <c r="B548" i="1"/>
  <c r="A548" i="1"/>
  <c r="U743" i="1"/>
  <c r="R743" i="1"/>
  <c r="Q743" i="1"/>
  <c r="P743" i="1"/>
  <c r="O743" i="1"/>
  <c r="N743" i="1"/>
  <c r="M743" i="1"/>
  <c r="I743" i="1"/>
  <c r="H743" i="1"/>
  <c r="F743" i="1"/>
  <c r="D743" i="1"/>
  <c r="B743" i="1"/>
  <c r="A743" i="1"/>
  <c r="U544" i="1"/>
  <c r="R544" i="1"/>
  <c r="Q544" i="1"/>
  <c r="P544" i="1"/>
  <c r="O544" i="1"/>
  <c r="N544" i="1"/>
  <c r="M544" i="1"/>
  <c r="J544" i="1"/>
  <c r="I544" i="1"/>
  <c r="H544" i="1"/>
  <c r="F544" i="1"/>
  <c r="E544" i="1"/>
  <c r="D544" i="1"/>
  <c r="A544" i="1"/>
  <c r="U631" i="1"/>
  <c r="R631" i="1"/>
  <c r="Q631" i="1"/>
  <c r="P631" i="1"/>
  <c r="O631" i="1"/>
  <c r="N631" i="1"/>
  <c r="M631" i="1"/>
  <c r="I631" i="1"/>
  <c r="H631" i="1"/>
  <c r="F631" i="1"/>
  <c r="D631" i="1"/>
  <c r="B631" i="1"/>
  <c r="A631" i="1"/>
  <c r="U441" i="1"/>
  <c r="R441" i="1"/>
  <c r="Q441" i="1"/>
  <c r="P441" i="1"/>
  <c r="O441" i="1"/>
  <c r="N441" i="1"/>
  <c r="M441" i="1"/>
  <c r="J441" i="1"/>
  <c r="I441" i="1"/>
  <c r="H441" i="1"/>
  <c r="G441" i="1"/>
  <c r="F441" i="1"/>
  <c r="D441" i="1"/>
  <c r="B441" i="1"/>
  <c r="A441" i="1"/>
  <c r="U728" i="1"/>
  <c r="R728" i="1"/>
  <c r="Q728" i="1"/>
  <c r="P728" i="1"/>
  <c r="O728" i="1"/>
  <c r="N728" i="1"/>
  <c r="M728" i="1"/>
  <c r="J728" i="1"/>
  <c r="I728" i="1"/>
  <c r="H728" i="1"/>
  <c r="F728" i="1"/>
  <c r="E728" i="1"/>
  <c r="D728" i="1"/>
  <c r="B728" i="1"/>
  <c r="A728" i="1"/>
  <c r="U966" i="1"/>
  <c r="R966" i="1"/>
  <c r="Q966" i="1"/>
  <c r="P966" i="1"/>
  <c r="O966" i="1"/>
  <c r="N966" i="1"/>
  <c r="M966" i="1"/>
  <c r="I966" i="1"/>
  <c r="H966" i="1"/>
  <c r="F966" i="1"/>
  <c r="D966" i="1"/>
  <c r="A966" i="1"/>
  <c r="U1262" i="1"/>
  <c r="R1262" i="1"/>
  <c r="Q1262" i="1"/>
  <c r="P1262" i="1"/>
  <c r="O1262" i="1"/>
  <c r="N1262" i="1"/>
  <c r="M1262" i="1"/>
  <c r="J1262" i="1"/>
  <c r="I1262" i="1"/>
  <c r="H1262" i="1"/>
  <c r="F1262" i="1"/>
  <c r="D1262" i="1"/>
  <c r="B1262" i="1"/>
  <c r="A1262" i="1"/>
  <c r="U1282" i="1"/>
  <c r="R1282" i="1"/>
  <c r="Q1282" i="1"/>
  <c r="P1282" i="1"/>
  <c r="O1282" i="1"/>
  <c r="N1282" i="1"/>
  <c r="M1282" i="1"/>
  <c r="I1282" i="1"/>
  <c r="H1282" i="1"/>
  <c r="F1282" i="1"/>
  <c r="D1282" i="1"/>
  <c r="B1282" i="1"/>
  <c r="A1282" i="1"/>
  <c r="U1468" i="1"/>
  <c r="R1468" i="1"/>
  <c r="Q1468" i="1"/>
  <c r="P1468" i="1"/>
  <c r="O1468" i="1"/>
  <c r="N1468" i="1"/>
  <c r="M1468" i="1"/>
  <c r="J1468" i="1"/>
  <c r="I1468" i="1"/>
  <c r="H1468" i="1"/>
  <c r="G1468" i="1"/>
  <c r="F1468" i="1"/>
  <c r="E1468" i="1"/>
  <c r="D1468" i="1"/>
  <c r="B1468" i="1"/>
  <c r="A1468" i="1"/>
  <c r="U1483" i="1"/>
  <c r="R1483" i="1"/>
  <c r="Q1483" i="1"/>
  <c r="P1483" i="1"/>
  <c r="O1483" i="1"/>
  <c r="N1483" i="1"/>
  <c r="M1483" i="1"/>
  <c r="J1483" i="1"/>
  <c r="I1483" i="1"/>
  <c r="H1483" i="1"/>
  <c r="G1483" i="1"/>
  <c r="F1483" i="1"/>
  <c r="D1483" i="1"/>
  <c r="B1483" i="1"/>
  <c r="A1483" i="1"/>
  <c r="U1583" i="1"/>
  <c r="R1583" i="1"/>
  <c r="Q1583" i="1"/>
  <c r="P1583" i="1"/>
  <c r="O1583" i="1"/>
  <c r="N1583" i="1"/>
  <c r="M1583" i="1"/>
  <c r="J1583" i="1"/>
  <c r="I1583" i="1"/>
  <c r="H1583" i="1"/>
  <c r="F1583" i="1"/>
  <c r="D1583" i="1"/>
  <c r="B1583" i="1"/>
  <c r="A1583" i="1"/>
  <c r="U1509" i="1"/>
  <c r="R1509" i="1"/>
  <c r="Q1509" i="1"/>
  <c r="P1509" i="1"/>
  <c r="O1509" i="1"/>
  <c r="N1509" i="1"/>
  <c r="M1509" i="1"/>
  <c r="J1509" i="1"/>
  <c r="I1509" i="1"/>
  <c r="H1509" i="1"/>
  <c r="F1509" i="1"/>
  <c r="D1509" i="1"/>
  <c r="B1509" i="1"/>
  <c r="A1509" i="1"/>
  <c r="U1821" i="1"/>
  <c r="R1821" i="1"/>
  <c r="Q1821" i="1"/>
  <c r="P1821" i="1"/>
  <c r="O1821" i="1"/>
  <c r="N1821" i="1"/>
  <c r="M1821" i="1"/>
  <c r="K1821" i="1"/>
  <c r="J1821" i="1"/>
  <c r="I1821" i="1"/>
  <c r="H1821" i="1"/>
  <c r="G1821" i="1"/>
  <c r="F1821" i="1"/>
  <c r="D1821" i="1"/>
  <c r="B1821" i="1"/>
  <c r="A1821" i="1"/>
  <c r="U1877" i="1"/>
  <c r="R1877" i="1"/>
  <c r="Q1877" i="1"/>
  <c r="P1877" i="1"/>
  <c r="O1877" i="1"/>
  <c r="N1877" i="1"/>
  <c r="M1877" i="1"/>
  <c r="J1877" i="1"/>
  <c r="I1877" i="1"/>
  <c r="H1877" i="1"/>
  <c r="F1877" i="1"/>
  <c r="D1877" i="1"/>
  <c r="B1877" i="1"/>
  <c r="A1877" i="1"/>
  <c r="U1905" i="1"/>
  <c r="R1905" i="1"/>
  <c r="Q1905" i="1"/>
  <c r="P1905" i="1"/>
  <c r="O1905" i="1"/>
  <c r="N1905" i="1"/>
  <c r="M1905" i="1"/>
  <c r="J1905" i="1"/>
  <c r="I1905" i="1"/>
  <c r="H1905" i="1"/>
  <c r="F1905" i="1"/>
  <c r="D1905" i="1"/>
  <c r="B1905" i="1"/>
  <c r="A1905" i="1"/>
  <c r="U1921" i="1"/>
  <c r="R1921" i="1"/>
  <c r="Q1921" i="1"/>
  <c r="P1921" i="1"/>
  <c r="O1921" i="1"/>
  <c r="N1921" i="1"/>
  <c r="M1921" i="1"/>
  <c r="J1921" i="1"/>
  <c r="I1921" i="1"/>
  <c r="H1921" i="1"/>
  <c r="G1921" i="1"/>
  <c r="F1921" i="1"/>
  <c r="D1921" i="1"/>
  <c r="B1921" i="1"/>
  <c r="A1921" i="1"/>
  <c r="U2898" i="1"/>
  <c r="R2898" i="1"/>
  <c r="Q2898" i="1"/>
  <c r="P2898" i="1"/>
  <c r="O2898" i="1"/>
  <c r="N2898" i="1"/>
  <c r="M2898" i="1"/>
  <c r="J2898" i="1"/>
  <c r="I2898" i="1"/>
  <c r="H2898" i="1"/>
  <c r="F2898" i="1"/>
  <c r="D2898" i="1"/>
  <c r="B2898" i="1"/>
  <c r="A2898" i="1"/>
  <c r="U2897" i="1"/>
  <c r="R2897" i="1"/>
  <c r="Q2897" i="1"/>
  <c r="P2897" i="1"/>
  <c r="O2897" i="1"/>
  <c r="N2897" i="1"/>
  <c r="M2897" i="1"/>
  <c r="J2897" i="1"/>
  <c r="I2897" i="1"/>
  <c r="H2897" i="1"/>
  <c r="F2897" i="1"/>
  <c r="D2897" i="1"/>
  <c r="B2897" i="1"/>
  <c r="A2897" i="1"/>
  <c r="U2896" i="1"/>
  <c r="R2896" i="1"/>
  <c r="Q2896" i="1"/>
  <c r="P2896" i="1"/>
  <c r="O2896" i="1"/>
  <c r="N2896" i="1"/>
  <c r="M2896" i="1"/>
  <c r="J2896" i="1"/>
  <c r="I2896" i="1"/>
  <c r="H2896" i="1"/>
  <c r="F2896" i="1"/>
  <c r="D2896" i="1"/>
  <c r="B2896" i="1"/>
  <c r="A2896" i="1"/>
  <c r="U2895" i="1"/>
  <c r="R2895" i="1"/>
  <c r="Q2895" i="1"/>
  <c r="P2895" i="1"/>
  <c r="O2895" i="1"/>
  <c r="N2895" i="1"/>
  <c r="M2895" i="1"/>
  <c r="J2895" i="1"/>
  <c r="I2895" i="1"/>
  <c r="H2895" i="1"/>
  <c r="F2895" i="1"/>
  <c r="D2895" i="1"/>
  <c r="B2895" i="1"/>
  <c r="A2895" i="1"/>
  <c r="U2086" i="1"/>
  <c r="R2086" i="1"/>
  <c r="Q2086" i="1"/>
  <c r="P2086" i="1"/>
  <c r="O2086" i="1"/>
  <c r="N2086" i="1"/>
  <c r="M2086" i="1"/>
  <c r="K2086" i="1"/>
  <c r="J2086" i="1"/>
  <c r="I2086" i="1"/>
  <c r="H2086" i="1"/>
  <c r="G2086" i="1"/>
  <c r="F2086" i="1"/>
  <c r="D2086" i="1"/>
  <c r="B2086" i="1"/>
  <c r="A2086" i="1"/>
  <c r="U2323" i="1"/>
  <c r="R2323" i="1"/>
  <c r="Q2323" i="1"/>
  <c r="P2323" i="1"/>
  <c r="O2323" i="1"/>
  <c r="N2323" i="1"/>
  <c r="M2323" i="1"/>
  <c r="K2323" i="1"/>
  <c r="J2323" i="1"/>
  <c r="I2323" i="1"/>
  <c r="H2323" i="1"/>
  <c r="F2323" i="1"/>
  <c r="D2323" i="1"/>
  <c r="B2323" i="1"/>
  <c r="A2323" i="1"/>
  <c r="U2317" i="1"/>
  <c r="R2317" i="1"/>
  <c r="Q2317" i="1"/>
  <c r="P2317" i="1"/>
  <c r="O2317" i="1"/>
  <c r="N2317" i="1"/>
  <c r="M2317" i="1"/>
  <c r="J2317" i="1"/>
  <c r="I2317" i="1"/>
  <c r="H2317" i="1"/>
  <c r="F2317" i="1"/>
  <c r="E2317" i="1"/>
  <c r="D2317" i="1"/>
  <c r="B2317" i="1"/>
  <c r="A2317" i="1"/>
  <c r="U2687" i="1"/>
  <c r="R2687" i="1"/>
  <c r="Q2687" i="1"/>
  <c r="P2687" i="1"/>
  <c r="O2687" i="1"/>
  <c r="N2687" i="1"/>
  <c r="M2687" i="1"/>
  <c r="K2687" i="1"/>
  <c r="J2687" i="1"/>
  <c r="I2687" i="1"/>
  <c r="H2687" i="1"/>
  <c r="F2687" i="1"/>
  <c r="D2687" i="1"/>
  <c r="B2687" i="1"/>
  <c r="A2687" i="1"/>
  <c r="U2884" i="1"/>
  <c r="R2884" i="1"/>
  <c r="Q2884" i="1"/>
  <c r="P2884" i="1"/>
  <c r="O2884" i="1"/>
  <c r="N2884" i="1"/>
  <c r="M2884" i="1"/>
  <c r="K2884" i="1"/>
  <c r="J2884" i="1"/>
  <c r="I2884" i="1"/>
  <c r="H2884" i="1"/>
  <c r="F2884" i="1"/>
  <c r="D2884" i="1"/>
  <c r="B2884" i="1"/>
  <c r="A2884" i="1"/>
  <c r="U2872" i="1"/>
  <c r="R2872" i="1"/>
  <c r="Q2872" i="1"/>
  <c r="P2872" i="1"/>
  <c r="O2872" i="1"/>
  <c r="N2872" i="1"/>
  <c r="M2872" i="1"/>
  <c r="J2872" i="1"/>
  <c r="I2872" i="1"/>
  <c r="H2872" i="1"/>
  <c r="F2872" i="1"/>
  <c r="E2872" i="1"/>
  <c r="D2872" i="1"/>
  <c r="B2872" i="1"/>
  <c r="A2872" i="1"/>
  <c r="U2887" i="1"/>
  <c r="R2887" i="1"/>
  <c r="Q2887" i="1"/>
  <c r="P2887" i="1"/>
  <c r="O2887" i="1"/>
  <c r="N2887" i="1"/>
  <c r="M2887" i="1"/>
  <c r="J2887" i="1"/>
  <c r="I2887" i="1"/>
  <c r="H2887" i="1"/>
  <c r="F2887" i="1"/>
  <c r="D2887" i="1"/>
  <c r="B2887" i="1"/>
  <c r="A2887" i="1"/>
  <c r="U2894" i="1"/>
  <c r="R2894" i="1"/>
  <c r="Q2894" i="1"/>
  <c r="P2894" i="1"/>
  <c r="O2894" i="1"/>
  <c r="N2894" i="1"/>
  <c r="M2894" i="1"/>
  <c r="J2894" i="1"/>
  <c r="I2894" i="1"/>
  <c r="H2894" i="1"/>
  <c r="F2894" i="1"/>
  <c r="D2894" i="1"/>
  <c r="B2894" i="1"/>
  <c r="A2894" i="1"/>
  <c r="U2778" i="1"/>
  <c r="R2778" i="1"/>
  <c r="Q2778" i="1"/>
  <c r="P2778" i="1"/>
  <c r="O2778" i="1"/>
  <c r="N2778" i="1"/>
  <c r="M2778" i="1"/>
  <c r="K2778" i="1"/>
  <c r="J2778" i="1"/>
  <c r="I2778" i="1"/>
  <c r="H2778" i="1"/>
  <c r="F2778" i="1"/>
  <c r="D2778" i="1"/>
  <c r="B2778" i="1"/>
  <c r="A2778" i="1"/>
  <c r="U2889" i="1"/>
  <c r="R2889" i="1"/>
  <c r="Q2889" i="1"/>
  <c r="P2889" i="1"/>
  <c r="O2889" i="1"/>
  <c r="N2889" i="1"/>
  <c r="M2889" i="1"/>
  <c r="K2889" i="1"/>
  <c r="J2889" i="1"/>
  <c r="I2889" i="1"/>
  <c r="H2889" i="1"/>
  <c r="F2889" i="1"/>
  <c r="D2889" i="1"/>
  <c r="B2889" i="1"/>
  <c r="A2889" i="1"/>
  <c r="U2611" i="1"/>
  <c r="R2611" i="1"/>
  <c r="Q2611" i="1"/>
  <c r="P2611" i="1"/>
  <c r="O2611" i="1"/>
  <c r="N2611" i="1"/>
  <c r="M2611" i="1"/>
  <c r="J2611" i="1"/>
  <c r="I2611" i="1"/>
  <c r="H2611" i="1"/>
  <c r="F2611" i="1"/>
  <c r="D2611" i="1"/>
  <c r="B2611" i="1"/>
  <c r="A2611" i="1"/>
  <c r="U2614" i="1"/>
  <c r="R2614" i="1"/>
  <c r="Q2614" i="1"/>
  <c r="P2614" i="1"/>
  <c r="O2614" i="1"/>
  <c r="N2614" i="1"/>
  <c r="M2614" i="1"/>
  <c r="J2614" i="1"/>
  <c r="I2614" i="1"/>
  <c r="H2614" i="1"/>
  <c r="F2614" i="1"/>
  <c r="D2614" i="1"/>
  <c r="B2614" i="1"/>
  <c r="A2614" i="1"/>
  <c r="U2856" i="1"/>
  <c r="R2856" i="1"/>
  <c r="Q2856" i="1"/>
  <c r="P2856" i="1"/>
  <c r="O2856" i="1"/>
  <c r="N2856" i="1"/>
  <c r="M2856" i="1"/>
  <c r="J2856" i="1"/>
  <c r="I2856" i="1"/>
  <c r="H2856" i="1"/>
  <c r="F2856" i="1"/>
  <c r="D2856" i="1"/>
  <c r="B2856" i="1"/>
  <c r="A2856" i="1"/>
  <c r="U2751" i="1"/>
  <c r="R2751" i="1"/>
  <c r="Q2751" i="1"/>
  <c r="P2751" i="1"/>
  <c r="O2751" i="1"/>
  <c r="N2751" i="1"/>
  <c r="M2751" i="1"/>
  <c r="J2751" i="1"/>
  <c r="I2751" i="1"/>
  <c r="H2751" i="1"/>
  <c r="F2751" i="1"/>
  <c r="D2751" i="1"/>
  <c r="B2751" i="1"/>
  <c r="A2751" i="1"/>
  <c r="U2947" i="1"/>
  <c r="R2947" i="1"/>
  <c r="Q2947" i="1"/>
  <c r="P2947" i="1"/>
  <c r="O2947" i="1"/>
  <c r="N2947" i="1"/>
  <c r="M2947" i="1"/>
  <c r="K2947" i="1"/>
  <c r="J2947" i="1"/>
  <c r="I2947" i="1"/>
  <c r="H2947" i="1"/>
  <c r="G2947" i="1"/>
  <c r="F2947" i="1"/>
  <c r="D2947" i="1"/>
  <c r="B2947" i="1"/>
  <c r="A2947" i="1"/>
  <c r="U2955" i="1"/>
  <c r="R2955" i="1"/>
  <c r="Q2955" i="1"/>
  <c r="P2955" i="1"/>
  <c r="O2955" i="1"/>
  <c r="N2955" i="1"/>
  <c r="M2955" i="1"/>
  <c r="J2955" i="1"/>
  <c r="I2955" i="1"/>
  <c r="H2955" i="1"/>
  <c r="F2955" i="1"/>
  <c r="D2955" i="1"/>
  <c r="B2955" i="1"/>
  <c r="A2955" i="1"/>
  <c r="U2817" i="1"/>
  <c r="R2817" i="1"/>
  <c r="Q2817" i="1"/>
  <c r="P2817" i="1"/>
  <c r="O2817" i="1"/>
  <c r="N2817" i="1"/>
  <c r="M2817" i="1"/>
  <c r="J2817" i="1"/>
  <c r="I2817" i="1"/>
  <c r="H2817" i="1"/>
  <c r="F2817" i="1"/>
  <c r="D2817" i="1"/>
  <c r="B2817" i="1"/>
  <c r="A2817" i="1"/>
  <c r="U2961" i="1"/>
  <c r="R2961" i="1"/>
  <c r="Q2961" i="1"/>
  <c r="P2961" i="1"/>
  <c r="O2961" i="1"/>
  <c r="N2961" i="1"/>
  <c r="M2961" i="1"/>
  <c r="K2961" i="1"/>
  <c r="J2961" i="1"/>
  <c r="I2961" i="1"/>
  <c r="H2961" i="1"/>
  <c r="F2961" i="1"/>
  <c r="D2961" i="1"/>
  <c r="B2961" i="1"/>
  <c r="A2961" i="1"/>
  <c r="U2839" i="1"/>
  <c r="R2839" i="1"/>
  <c r="Q2839" i="1"/>
  <c r="P2839" i="1"/>
  <c r="O2839" i="1"/>
  <c r="N2839" i="1"/>
  <c r="M2839" i="1"/>
  <c r="J2839" i="1"/>
  <c r="I2839" i="1"/>
  <c r="H2839" i="1"/>
  <c r="F2839" i="1"/>
  <c r="D2839" i="1"/>
  <c r="B2839" i="1"/>
  <c r="A2839" i="1"/>
  <c r="U2859" i="1"/>
  <c r="R2859" i="1"/>
  <c r="Q2859" i="1"/>
  <c r="P2859" i="1"/>
  <c r="O2859" i="1"/>
  <c r="N2859" i="1"/>
  <c r="M2859" i="1"/>
  <c r="J2859" i="1"/>
  <c r="I2859" i="1"/>
  <c r="H2859" i="1"/>
  <c r="F2859" i="1"/>
  <c r="E2859" i="1"/>
  <c r="D2859" i="1"/>
  <c r="B2859" i="1"/>
  <c r="A2859" i="1"/>
  <c r="U2833" i="1"/>
  <c r="R2833" i="1"/>
  <c r="Q2833" i="1"/>
  <c r="P2833" i="1"/>
  <c r="O2833" i="1"/>
  <c r="N2833" i="1"/>
  <c r="M2833" i="1"/>
  <c r="K2833" i="1"/>
  <c r="J2833" i="1"/>
  <c r="I2833" i="1"/>
  <c r="H2833" i="1"/>
  <c r="F2833" i="1"/>
  <c r="D2833" i="1"/>
  <c r="B2833" i="1"/>
  <c r="A2833" i="1"/>
  <c r="U2893" i="1"/>
  <c r="R2893" i="1"/>
  <c r="Q2893" i="1"/>
  <c r="P2893" i="1"/>
  <c r="O2893" i="1"/>
  <c r="N2893" i="1"/>
  <c r="M2893" i="1"/>
  <c r="J2893" i="1"/>
  <c r="I2893" i="1"/>
  <c r="H2893" i="1"/>
  <c r="F2893" i="1"/>
  <c r="D2893" i="1"/>
  <c r="B2893" i="1"/>
  <c r="A2893" i="1"/>
  <c r="U534" i="1"/>
  <c r="R534" i="1"/>
  <c r="Q534" i="1"/>
  <c r="P534" i="1"/>
  <c r="O534" i="1"/>
  <c r="N534" i="1"/>
  <c r="M534" i="1"/>
  <c r="J534" i="1"/>
  <c r="I534" i="1"/>
  <c r="H534" i="1"/>
  <c r="F534" i="1"/>
  <c r="D534" i="1"/>
  <c r="B534" i="1"/>
  <c r="A534" i="1"/>
  <c r="U2735" i="1"/>
  <c r="R2735" i="1"/>
  <c r="Q2735" i="1"/>
  <c r="P2735" i="1"/>
  <c r="O2735" i="1"/>
  <c r="N2735" i="1"/>
  <c r="M2735" i="1"/>
  <c r="J2735" i="1"/>
  <c r="I2735" i="1"/>
  <c r="H2735" i="1"/>
  <c r="F2735" i="1"/>
  <c r="D2735" i="1"/>
  <c r="B2735" i="1"/>
  <c r="A2735" i="1"/>
  <c r="U2653" i="1"/>
  <c r="R2653" i="1"/>
  <c r="Q2653" i="1"/>
  <c r="P2653" i="1"/>
  <c r="O2653" i="1"/>
  <c r="N2653" i="1"/>
  <c r="M2653" i="1"/>
  <c r="J2653" i="1"/>
  <c r="I2653" i="1"/>
  <c r="H2653" i="1"/>
  <c r="F2653" i="1"/>
  <c r="D2653" i="1"/>
  <c r="B2653" i="1"/>
  <c r="A2653" i="1"/>
  <c r="U852" i="1"/>
  <c r="R852" i="1"/>
  <c r="Q852" i="1"/>
  <c r="P852" i="1"/>
  <c r="O852" i="1"/>
  <c r="N852" i="1"/>
  <c r="M852" i="1"/>
  <c r="J852" i="1"/>
  <c r="I852" i="1"/>
  <c r="H852" i="1"/>
  <c r="F852" i="1"/>
  <c r="D852" i="1"/>
  <c r="B852" i="1"/>
  <c r="A852" i="1"/>
  <c r="U997" i="1"/>
  <c r="R997" i="1"/>
  <c r="Q997" i="1"/>
  <c r="P997" i="1"/>
  <c r="O997" i="1"/>
  <c r="N997" i="1"/>
  <c r="M997" i="1"/>
  <c r="J997" i="1"/>
  <c r="I997" i="1"/>
  <c r="H997" i="1"/>
  <c r="F997" i="1"/>
  <c r="D997" i="1"/>
  <c r="B997" i="1"/>
  <c r="A997" i="1"/>
  <c r="U1557" i="1"/>
  <c r="R1557" i="1"/>
  <c r="Q1557" i="1"/>
  <c r="P1557" i="1"/>
  <c r="O1557" i="1"/>
  <c r="N1557" i="1"/>
  <c r="M1557" i="1"/>
  <c r="J1557" i="1"/>
  <c r="I1557" i="1"/>
  <c r="H1557" i="1"/>
  <c r="F1557" i="1"/>
  <c r="D1557" i="1"/>
  <c r="B1557" i="1"/>
  <c r="A1557" i="1"/>
  <c r="U2369" i="1"/>
  <c r="R2369" i="1"/>
  <c r="Q2369" i="1"/>
  <c r="P2369" i="1"/>
  <c r="O2369" i="1"/>
  <c r="N2369" i="1"/>
  <c r="M2369" i="1"/>
  <c r="J2369" i="1"/>
  <c r="I2369" i="1"/>
  <c r="H2369" i="1"/>
  <c r="G2369" i="1"/>
  <c r="F2369" i="1"/>
  <c r="E2369" i="1"/>
  <c r="D2369" i="1"/>
  <c r="B2369" i="1"/>
  <c r="A2369" i="1"/>
  <c r="U2569" i="1"/>
  <c r="R2569" i="1"/>
  <c r="Q2569" i="1"/>
  <c r="P2569" i="1"/>
  <c r="O2569" i="1"/>
  <c r="N2569" i="1"/>
  <c r="M2569" i="1"/>
  <c r="K2569" i="1"/>
  <c r="J2569" i="1"/>
  <c r="I2569" i="1"/>
  <c r="H2569" i="1"/>
  <c r="F2569" i="1"/>
  <c r="D2569" i="1"/>
  <c r="B2569" i="1"/>
  <c r="A2569" i="1"/>
  <c r="U2943" i="1"/>
  <c r="R2943" i="1"/>
  <c r="Q2943" i="1"/>
  <c r="P2943" i="1"/>
  <c r="O2943" i="1"/>
  <c r="N2943" i="1"/>
  <c r="M2943" i="1"/>
  <c r="K2943" i="1"/>
  <c r="J2943" i="1"/>
  <c r="I2943" i="1"/>
  <c r="H2943" i="1"/>
  <c r="F2943" i="1"/>
  <c r="D2943" i="1"/>
  <c r="B2943" i="1"/>
  <c r="A2943" i="1"/>
  <c r="U2651" i="1"/>
  <c r="R2651" i="1"/>
  <c r="Q2651" i="1"/>
  <c r="P2651" i="1"/>
  <c r="O2651" i="1"/>
  <c r="N2651" i="1"/>
  <c r="M2651" i="1"/>
  <c r="K2651" i="1"/>
  <c r="J2651" i="1"/>
  <c r="I2651" i="1"/>
  <c r="H2651" i="1"/>
  <c r="F2651" i="1"/>
  <c r="D2651" i="1"/>
  <c r="B2651" i="1"/>
  <c r="A2651" i="1"/>
  <c r="U2868" i="1"/>
  <c r="R2868" i="1"/>
  <c r="Q2868" i="1"/>
  <c r="P2868" i="1"/>
  <c r="O2868" i="1"/>
  <c r="N2868" i="1"/>
  <c r="M2868" i="1"/>
  <c r="J2868" i="1"/>
  <c r="I2868" i="1"/>
  <c r="H2868" i="1"/>
  <c r="F2868" i="1"/>
  <c r="D2868" i="1"/>
  <c r="B2868" i="1"/>
  <c r="A2868" i="1"/>
  <c r="U2108" i="1"/>
  <c r="R2108" i="1"/>
  <c r="Q2108" i="1"/>
  <c r="P2108" i="1"/>
  <c r="O2108" i="1"/>
  <c r="N2108" i="1"/>
  <c r="M2108" i="1"/>
  <c r="J2108" i="1"/>
  <c r="I2108" i="1"/>
  <c r="H2108" i="1"/>
  <c r="F2108" i="1"/>
  <c r="D2108" i="1"/>
  <c r="B2108" i="1"/>
  <c r="A2108" i="1"/>
  <c r="U2107" i="1"/>
  <c r="R2107" i="1"/>
  <c r="Q2107" i="1"/>
  <c r="P2107" i="1"/>
  <c r="O2107" i="1"/>
  <c r="N2107" i="1"/>
  <c r="M2107" i="1"/>
  <c r="K2107" i="1"/>
  <c r="J2107" i="1"/>
  <c r="I2107" i="1"/>
  <c r="H2107" i="1"/>
  <c r="G2107" i="1"/>
  <c r="F2107" i="1"/>
  <c r="D2107" i="1"/>
  <c r="B2107" i="1"/>
  <c r="A2107" i="1"/>
  <c r="U2063" i="1"/>
  <c r="R2063" i="1"/>
  <c r="Q2063" i="1"/>
  <c r="P2063" i="1"/>
  <c r="O2063" i="1"/>
  <c r="N2063" i="1"/>
  <c r="M2063" i="1"/>
  <c r="K2063" i="1"/>
  <c r="J2063" i="1"/>
  <c r="I2063" i="1"/>
  <c r="H2063" i="1"/>
  <c r="F2063" i="1"/>
  <c r="D2063" i="1"/>
  <c r="B2063" i="1"/>
  <c r="A2063" i="1"/>
  <c r="U2062" i="1"/>
  <c r="R2062" i="1"/>
  <c r="Q2062" i="1"/>
  <c r="P2062" i="1"/>
  <c r="O2062" i="1"/>
  <c r="N2062" i="1"/>
  <c r="M2062" i="1"/>
  <c r="K2062" i="1"/>
  <c r="J2062" i="1"/>
  <c r="I2062" i="1"/>
  <c r="H2062" i="1"/>
  <c r="F2062" i="1"/>
  <c r="D2062" i="1"/>
  <c r="B2062" i="1"/>
  <c r="A2062" i="1"/>
  <c r="U2061" i="1"/>
  <c r="R2061" i="1"/>
  <c r="Q2061" i="1"/>
  <c r="P2061" i="1"/>
  <c r="O2061" i="1"/>
  <c r="N2061" i="1"/>
  <c r="M2061" i="1"/>
  <c r="J2061" i="1"/>
  <c r="I2061" i="1"/>
  <c r="H2061" i="1"/>
  <c r="F2061" i="1"/>
  <c r="D2061" i="1"/>
  <c r="B2061" i="1"/>
  <c r="A2061" i="1"/>
  <c r="U334" i="1"/>
  <c r="R334" i="1"/>
  <c r="Q334" i="1"/>
  <c r="P334" i="1"/>
  <c r="O334" i="1"/>
  <c r="N334" i="1"/>
  <c r="M334" i="1"/>
  <c r="K334" i="1"/>
  <c r="J334" i="1"/>
  <c r="I334" i="1"/>
  <c r="H334" i="1"/>
  <c r="F334" i="1"/>
  <c r="D334" i="1"/>
  <c r="B334" i="1"/>
  <c r="A334" i="1"/>
  <c r="U2560" i="1"/>
  <c r="R2560" i="1"/>
  <c r="Q2560" i="1"/>
  <c r="P2560" i="1"/>
  <c r="O2560" i="1"/>
  <c r="N2560" i="1"/>
  <c r="M2560" i="1"/>
  <c r="K2560" i="1"/>
  <c r="J2560" i="1"/>
  <c r="I2560" i="1"/>
  <c r="H2560" i="1"/>
  <c r="F2560" i="1"/>
  <c r="D2560" i="1"/>
  <c r="B2560" i="1"/>
  <c r="A2560" i="1"/>
  <c r="U2563" i="1"/>
  <c r="R2563" i="1"/>
  <c r="Q2563" i="1"/>
  <c r="P2563" i="1"/>
  <c r="O2563" i="1"/>
  <c r="N2563" i="1"/>
  <c r="M2563" i="1"/>
  <c r="K2563" i="1"/>
  <c r="J2563" i="1"/>
  <c r="I2563" i="1"/>
  <c r="H2563" i="1"/>
  <c r="F2563" i="1"/>
  <c r="D2563" i="1"/>
  <c r="B2563" i="1"/>
  <c r="A2563" i="1"/>
  <c r="U2074" i="1"/>
  <c r="R2074" i="1"/>
  <c r="Q2074" i="1"/>
  <c r="P2074" i="1"/>
  <c r="O2074" i="1"/>
  <c r="N2074" i="1"/>
  <c r="M2074" i="1"/>
  <c r="K2074" i="1"/>
  <c r="J2074" i="1"/>
  <c r="I2074" i="1"/>
  <c r="H2074" i="1"/>
  <c r="F2074" i="1"/>
  <c r="D2074" i="1"/>
  <c r="B2074" i="1"/>
  <c r="A2074" i="1"/>
  <c r="U2305" i="1"/>
  <c r="R2305" i="1"/>
  <c r="Q2305" i="1"/>
  <c r="P2305" i="1"/>
  <c r="O2305" i="1"/>
  <c r="N2305" i="1"/>
  <c r="M2305" i="1"/>
  <c r="K2305" i="1"/>
  <c r="J2305" i="1"/>
  <c r="I2305" i="1"/>
  <c r="H2305" i="1"/>
  <c r="F2305" i="1"/>
  <c r="D2305" i="1"/>
  <c r="B2305" i="1"/>
  <c r="A2305" i="1"/>
  <c r="U2631" i="1"/>
  <c r="R2631" i="1"/>
  <c r="Q2631" i="1"/>
  <c r="P2631" i="1"/>
  <c r="O2631" i="1"/>
  <c r="N2631" i="1"/>
  <c r="M2631" i="1"/>
  <c r="K2631" i="1"/>
  <c r="J2631" i="1"/>
  <c r="I2631" i="1"/>
  <c r="H2631" i="1"/>
  <c r="F2631" i="1"/>
  <c r="D2631" i="1"/>
  <c r="B2631" i="1"/>
  <c r="A2631" i="1"/>
  <c r="U2043" i="1"/>
  <c r="R2043" i="1"/>
  <c r="Q2043" i="1"/>
  <c r="P2043" i="1"/>
  <c r="O2043" i="1"/>
  <c r="N2043" i="1"/>
  <c r="M2043" i="1"/>
  <c r="K2043" i="1"/>
  <c r="J2043" i="1"/>
  <c r="I2043" i="1"/>
  <c r="H2043" i="1"/>
  <c r="F2043" i="1"/>
  <c r="D2043" i="1"/>
  <c r="B2043" i="1"/>
  <c r="A2043" i="1"/>
  <c r="U2024" i="1"/>
  <c r="R2024" i="1"/>
  <c r="Q2024" i="1"/>
  <c r="P2024" i="1"/>
  <c r="O2024" i="1"/>
  <c r="N2024" i="1"/>
  <c r="M2024" i="1"/>
  <c r="K2024" i="1"/>
  <c r="J2024" i="1"/>
  <c r="I2024" i="1"/>
  <c r="H2024" i="1"/>
  <c r="F2024" i="1"/>
  <c r="D2024" i="1"/>
  <c r="B2024" i="1"/>
  <c r="A2024" i="1"/>
  <c r="U2950" i="1"/>
  <c r="R2950" i="1"/>
  <c r="Q2950" i="1"/>
  <c r="P2950" i="1"/>
  <c r="O2950" i="1"/>
  <c r="N2950" i="1"/>
  <c r="M2950" i="1"/>
  <c r="I2950" i="1"/>
  <c r="H2950" i="1"/>
  <c r="F2950" i="1"/>
  <c r="D2950" i="1"/>
  <c r="B2950" i="1"/>
  <c r="A2950" i="1"/>
  <c r="U2364" i="1"/>
  <c r="R2364" i="1"/>
  <c r="Q2364" i="1"/>
  <c r="P2364" i="1"/>
  <c r="O2364" i="1"/>
  <c r="N2364" i="1"/>
  <c r="M2364" i="1"/>
  <c r="K2364" i="1"/>
  <c r="J2364" i="1"/>
  <c r="I2364" i="1"/>
  <c r="H2364" i="1"/>
  <c r="F2364" i="1"/>
  <c r="D2364" i="1"/>
  <c r="B2364" i="1"/>
  <c r="A2364" i="1"/>
  <c r="U2315" i="1"/>
  <c r="R2315" i="1"/>
  <c r="Q2315" i="1"/>
  <c r="P2315" i="1"/>
  <c r="O2315" i="1"/>
  <c r="N2315" i="1"/>
  <c r="M2315" i="1"/>
  <c r="K2315" i="1"/>
  <c r="J2315" i="1"/>
  <c r="I2315" i="1"/>
  <c r="H2315" i="1"/>
  <c r="F2315" i="1"/>
  <c r="D2315" i="1"/>
  <c r="B2315" i="1"/>
  <c r="A2315" i="1"/>
  <c r="U2403" i="1"/>
  <c r="R2403" i="1"/>
  <c r="Q2403" i="1"/>
  <c r="P2403" i="1"/>
  <c r="O2403" i="1"/>
  <c r="N2403" i="1"/>
  <c r="M2403" i="1"/>
  <c r="K2403" i="1"/>
  <c r="J2403" i="1"/>
  <c r="I2403" i="1"/>
  <c r="H2403" i="1"/>
  <c r="F2403" i="1"/>
  <c r="D2403" i="1"/>
  <c r="B2403" i="1"/>
  <c r="A2403" i="1"/>
  <c r="U2945" i="1"/>
  <c r="R2945" i="1"/>
  <c r="Q2945" i="1"/>
  <c r="P2945" i="1"/>
  <c r="O2945" i="1"/>
  <c r="N2945" i="1"/>
  <c r="M2945" i="1"/>
  <c r="K2945" i="1"/>
  <c r="J2945" i="1"/>
  <c r="I2945" i="1"/>
  <c r="H2945" i="1"/>
  <c r="F2945" i="1"/>
  <c r="D2945" i="1"/>
  <c r="B2945" i="1"/>
  <c r="A2945" i="1"/>
  <c r="U2359" i="1"/>
  <c r="R2359" i="1"/>
  <c r="Q2359" i="1"/>
  <c r="P2359" i="1"/>
  <c r="O2359" i="1"/>
  <c r="N2359" i="1"/>
  <c r="M2359" i="1"/>
  <c r="K2359" i="1"/>
  <c r="J2359" i="1"/>
  <c r="I2359" i="1"/>
  <c r="H2359" i="1"/>
  <c r="F2359" i="1"/>
  <c r="D2359" i="1"/>
  <c r="B2359" i="1"/>
  <c r="A2359" i="1"/>
  <c r="U2154" i="1"/>
  <c r="R2154" i="1"/>
  <c r="Q2154" i="1"/>
  <c r="P2154" i="1"/>
  <c r="O2154" i="1"/>
  <c r="N2154" i="1"/>
  <c r="M2154" i="1"/>
  <c r="K2154" i="1"/>
  <c r="J2154" i="1"/>
  <c r="I2154" i="1"/>
  <c r="H2154" i="1"/>
  <c r="F2154" i="1"/>
  <c r="D2154" i="1"/>
  <c r="B2154" i="1"/>
  <c r="A2154" i="1"/>
  <c r="U2142" i="1"/>
  <c r="R2142" i="1"/>
  <c r="Q2142" i="1"/>
  <c r="P2142" i="1"/>
  <c r="O2142" i="1"/>
  <c r="N2142" i="1"/>
  <c r="M2142" i="1"/>
  <c r="K2142" i="1"/>
  <c r="J2142" i="1"/>
  <c r="I2142" i="1"/>
  <c r="H2142" i="1"/>
  <c r="F2142" i="1"/>
  <c r="D2142" i="1"/>
  <c r="B2142" i="1"/>
  <c r="A2142" i="1"/>
  <c r="U2711" i="1"/>
  <c r="R2711" i="1"/>
  <c r="Q2711" i="1"/>
  <c r="P2711" i="1"/>
  <c r="O2711" i="1"/>
  <c r="N2711" i="1"/>
  <c r="M2711" i="1"/>
  <c r="K2711" i="1"/>
  <c r="J2711" i="1"/>
  <c r="I2711" i="1"/>
  <c r="H2711" i="1"/>
  <c r="F2711" i="1"/>
  <c r="D2711" i="1"/>
  <c r="B2711" i="1"/>
  <c r="A2711" i="1"/>
  <c r="U2976" i="1"/>
  <c r="R2976" i="1"/>
  <c r="Q2976" i="1"/>
  <c r="P2976" i="1"/>
  <c r="O2976" i="1"/>
  <c r="N2976" i="1"/>
  <c r="M2976" i="1"/>
  <c r="K2976" i="1"/>
  <c r="J2976" i="1"/>
  <c r="I2976" i="1"/>
  <c r="H2976" i="1"/>
  <c r="F2976" i="1"/>
  <c r="D2976" i="1"/>
  <c r="B2976" i="1"/>
  <c r="A2976" i="1"/>
  <c r="U68" i="1"/>
  <c r="R68" i="1"/>
  <c r="Q68" i="1"/>
  <c r="P68" i="1"/>
  <c r="O68" i="1"/>
  <c r="N68" i="1"/>
  <c r="M68" i="1"/>
  <c r="I68" i="1"/>
  <c r="H68" i="1"/>
  <c r="F68" i="1"/>
  <c r="D68" i="1"/>
  <c r="B68" i="1"/>
  <c r="A68" i="1"/>
  <c r="U232" i="1"/>
  <c r="R232" i="1"/>
  <c r="Q232" i="1"/>
  <c r="P232" i="1"/>
  <c r="O232" i="1"/>
  <c r="N232" i="1"/>
  <c r="M232" i="1"/>
  <c r="I232" i="1"/>
  <c r="H232" i="1"/>
  <c r="F232" i="1"/>
  <c r="D232" i="1"/>
  <c r="A232" i="1"/>
  <c r="U279" i="1"/>
  <c r="R279" i="1"/>
  <c r="Q279" i="1"/>
  <c r="P279" i="1"/>
  <c r="O279" i="1"/>
  <c r="N279" i="1"/>
  <c r="M279" i="1"/>
  <c r="I279" i="1"/>
  <c r="H279" i="1"/>
  <c r="F279" i="1"/>
  <c r="D279" i="1"/>
  <c r="B279" i="1"/>
  <c r="A279" i="1"/>
  <c r="U278" i="1"/>
  <c r="R278" i="1"/>
  <c r="Q278" i="1"/>
  <c r="P278" i="1"/>
  <c r="O278" i="1"/>
  <c r="N278" i="1"/>
  <c r="M278" i="1"/>
  <c r="J278" i="1"/>
  <c r="I278" i="1"/>
  <c r="H278" i="1"/>
  <c r="F278" i="1"/>
  <c r="D278" i="1"/>
  <c r="A278" i="1"/>
  <c r="U533" i="1"/>
  <c r="R533" i="1"/>
  <c r="Q533" i="1"/>
  <c r="P533" i="1"/>
  <c r="O533" i="1"/>
  <c r="N533" i="1"/>
  <c r="M533" i="1"/>
  <c r="J533" i="1"/>
  <c r="I533" i="1"/>
  <c r="H533" i="1"/>
  <c r="F533" i="1"/>
  <c r="D533" i="1"/>
  <c r="B533" i="1"/>
  <c r="A533" i="1"/>
  <c r="U655" i="1"/>
  <c r="R655" i="1"/>
  <c r="Q655" i="1"/>
  <c r="P655" i="1"/>
  <c r="O655" i="1"/>
  <c r="N655" i="1"/>
  <c r="M655" i="1"/>
  <c r="J655" i="1"/>
  <c r="I655" i="1"/>
  <c r="H655" i="1"/>
  <c r="F655" i="1"/>
  <c r="D655" i="1"/>
  <c r="B655" i="1"/>
  <c r="A655" i="1"/>
  <c r="U773" i="1"/>
  <c r="R773" i="1"/>
  <c r="Q773" i="1"/>
  <c r="P773" i="1"/>
  <c r="O773" i="1"/>
  <c r="N773" i="1"/>
  <c r="M773" i="1"/>
  <c r="I773" i="1"/>
  <c r="H773" i="1"/>
  <c r="G773" i="1"/>
  <c r="F773" i="1"/>
  <c r="D773" i="1"/>
  <c r="B773" i="1"/>
  <c r="A773" i="1"/>
  <c r="U956" i="1"/>
  <c r="R956" i="1"/>
  <c r="Q956" i="1"/>
  <c r="P956" i="1"/>
  <c r="O956" i="1"/>
  <c r="N956" i="1"/>
  <c r="M956" i="1"/>
  <c r="J956" i="1"/>
  <c r="I956" i="1"/>
  <c r="H956" i="1"/>
  <c r="F956" i="1"/>
  <c r="D956" i="1"/>
  <c r="B956" i="1"/>
  <c r="A956" i="1"/>
  <c r="U959" i="1"/>
  <c r="R959" i="1"/>
  <c r="Q959" i="1"/>
  <c r="P959" i="1"/>
  <c r="O959" i="1"/>
  <c r="N959" i="1"/>
  <c r="M959" i="1"/>
  <c r="J959" i="1"/>
  <c r="I959" i="1"/>
  <c r="H959" i="1"/>
  <c r="F959" i="1"/>
  <c r="D959" i="1"/>
  <c r="B959" i="1"/>
  <c r="A959" i="1"/>
  <c r="U1168" i="1"/>
  <c r="R1168" i="1"/>
  <c r="Q1168" i="1"/>
  <c r="P1168" i="1"/>
  <c r="O1168" i="1"/>
  <c r="N1168" i="1"/>
  <c r="M1168" i="1"/>
  <c r="J1168" i="1"/>
  <c r="I1168" i="1"/>
  <c r="H1168" i="1"/>
  <c r="F1168" i="1"/>
  <c r="D1168" i="1"/>
  <c r="B1168" i="1"/>
  <c r="A1168" i="1"/>
  <c r="U1155" i="1"/>
  <c r="R1155" i="1"/>
  <c r="Q1155" i="1"/>
  <c r="P1155" i="1"/>
  <c r="O1155" i="1"/>
  <c r="N1155" i="1"/>
  <c r="M1155" i="1"/>
  <c r="J1155" i="1"/>
  <c r="I1155" i="1"/>
  <c r="H1155" i="1"/>
  <c r="F1155" i="1"/>
  <c r="D1155" i="1"/>
  <c r="B1155" i="1"/>
  <c r="A1155" i="1"/>
  <c r="U1294" i="1"/>
  <c r="R1294" i="1"/>
  <c r="Q1294" i="1"/>
  <c r="P1294" i="1"/>
  <c r="O1294" i="1"/>
  <c r="N1294" i="1"/>
  <c r="M1294" i="1"/>
  <c r="J1294" i="1"/>
  <c r="I1294" i="1"/>
  <c r="H1294" i="1"/>
  <c r="F1294" i="1"/>
  <c r="D1294" i="1"/>
  <c r="B1294" i="1"/>
  <c r="A1294" i="1"/>
  <c r="U1488" i="1"/>
  <c r="R1488" i="1"/>
  <c r="Q1488" i="1"/>
  <c r="P1488" i="1"/>
  <c r="O1488" i="1"/>
  <c r="N1488" i="1"/>
  <c r="M1488" i="1"/>
  <c r="J1488" i="1"/>
  <c r="I1488" i="1"/>
  <c r="H1488" i="1"/>
  <c r="F1488" i="1"/>
  <c r="D1488" i="1"/>
  <c r="B1488" i="1"/>
  <c r="A1488" i="1"/>
  <c r="U1664" i="1"/>
  <c r="R1664" i="1"/>
  <c r="Q1664" i="1"/>
  <c r="P1664" i="1"/>
  <c r="O1664" i="1"/>
  <c r="N1664" i="1"/>
  <c r="M1664" i="1"/>
  <c r="J1664" i="1"/>
  <c r="I1664" i="1"/>
  <c r="H1664" i="1"/>
  <c r="F1664" i="1"/>
  <c r="D1664" i="1"/>
  <c r="B1664" i="1"/>
  <c r="A1664" i="1"/>
  <c r="U1818" i="1"/>
  <c r="R1818" i="1"/>
  <c r="Q1818" i="1"/>
  <c r="P1818" i="1"/>
  <c r="O1818" i="1"/>
  <c r="N1818" i="1"/>
  <c r="M1818" i="1"/>
  <c r="J1818" i="1"/>
  <c r="I1818" i="1"/>
  <c r="H1818" i="1"/>
  <c r="F1818" i="1"/>
  <c r="D1818" i="1"/>
  <c r="B1818" i="1"/>
  <c r="A1818" i="1"/>
  <c r="U2010" i="1"/>
  <c r="R2010" i="1"/>
  <c r="Q2010" i="1"/>
  <c r="P2010" i="1"/>
  <c r="O2010" i="1"/>
  <c r="N2010" i="1"/>
  <c r="M2010" i="1"/>
  <c r="J2010" i="1"/>
  <c r="I2010" i="1"/>
  <c r="H2010" i="1"/>
  <c r="F2010" i="1"/>
  <c r="D2010" i="1"/>
  <c r="B2010" i="1"/>
  <c r="A2010" i="1"/>
  <c r="U3061" i="1"/>
  <c r="R3061" i="1"/>
  <c r="Q3061" i="1"/>
  <c r="P3061" i="1"/>
  <c r="O3061" i="1"/>
  <c r="N3061" i="1"/>
  <c r="M3061" i="1"/>
  <c r="J3061" i="1"/>
  <c r="I3061" i="1"/>
  <c r="H3061" i="1"/>
  <c r="F3061" i="1"/>
  <c r="D3061" i="1"/>
  <c r="B3061" i="1"/>
  <c r="A3061" i="1"/>
  <c r="U1997" i="1"/>
  <c r="R1997" i="1"/>
  <c r="Q1997" i="1"/>
  <c r="P1997" i="1"/>
  <c r="O1997" i="1"/>
  <c r="N1997" i="1"/>
  <c r="M1997" i="1"/>
  <c r="K1997" i="1"/>
  <c r="J1997" i="1"/>
  <c r="I1997" i="1"/>
  <c r="H1997" i="1"/>
  <c r="F1997" i="1"/>
  <c r="D1997" i="1"/>
  <c r="B1997" i="1"/>
  <c r="A1997" i="1"/>
  <c r="U2073" i="1"/>
  <c r="R2073" i="1"/>
  <c r="Q2073" i="1"/>
  <c r="P2073" i="1"/>
  <c r="O2073" i="1"/>
  <c r="N2073" i="1"/>
  <c r="M2073" i="1"/>
  <c r="K2073" i="1"/>
  <c r="J2073" i="1"/>
  <c r="I2073" i="1"/>
  <c r="H2073" i="1"/>
  <c r="F2073" i="1"/>
  <c r="D2073" i="1"/>
  <c r="B2073" i="1"/>
  <c r="A2073" i="1"/>
  <c r="U2095" i="1"/>
  <c r="R2095" i="1"/>
  <c r="Q2095" i="1"/>
  <c r="P2095" i="1"/>
  <c r="O2095" i="1"/>
  <c r="N2095" i="1"/>
  <c r="M2095" i="1"/>
  <c r="K2095" i="1"/>
  <c r="J2095" i="1"/>
  <c r="I2095" i="1"/>
  <c r="H2095" i="1"/>
  <c r="F2095" i="1"/>
  <c r="D2095" i="1"/>
  <c r="A2095" i="1"/>
  <c r="U2299" i="1"/>
  <c r="R2299" i="1"/>
  <c r="Q2299" i="1"/>
  <c r="P2299" i="1"/>
  <c r="O2299" i="1"/>
  <c r="N2299" i="1"/>
  <c r="M2299" i="1"/>
  <c r="K2299" i="1"/>
  <c r="J2299" i="1"/>
  <c r="I2299" i="1"/>
  <c r="H2299" i="1"/>
  <c r="F2299" i="1"/>
  <c r="D2299" i="1"/>
  <c r="B2299" i="1"/>
  <c r="A2299" i="1"/>
  <c r="U2304" i="1"/>
  <c r="R2304" i="1"/>
  <c r="Q2304" i="1"/>
  <c r="P2304" i="1"/>
  <c r="O2304" i="1"/>
  <c r="N2304" i="1"/>
  <c r="M2304" i="1"/>
  <c r="J2304" i="1"/>
  <c r="I2304" i="1"/>
  <c r="H2304" i="1"/>
  <c r="F2304" i="1"/>
  <c r="D2304" i="1"/>
  <c r="B2304" i="1"/>
  <c r="A2304" i="1"/>
  <c r="U2329" i="1"/>
  <c r="R2329" i="1"/>
  <c r="Q2329" i="1"/>
  <c r="P2329" i="1"/>
  <c r="O2329" i="1"/>
  <c r="N2329" i="1"/>
  <c r="M2329" i="1"/>
  <c r="K2329" i="1"/>
  <c r="J2329" i="1"/>
  <c r="I2329" i="1"/>
  <c r="H2329" i="1"/>
  <c r="F2329" i="1"/>
  <c r="E2329" i="1"/>
  <c r="D2329" i="1"/>
  <c r="B2329" i="1"/>
  <c r="A2329" i="1"/>
  <c r="U501" i="1"/>
  <c r="R501" i="1"/>
  <c r="Q501" i="1"/>
  <c r="P501" i="1"/>
  <c r="O501" i="1"/>
  <c r="N501" i="1"/>
  <c r="M501" i="1"/>
  <c r="J501" i="1"/>
  <c r="I501" i="1"/>
  <c r="H501" i="1"/>
  <c r="F501" i="1"/>
  <c r="D501" i="1"/>
  <c r="B501" i="1"/>
  <c r="A501" i="1"/>
  <c r="U712" i="1"/>
  <c r="R712" i="1"/>
  <c r="Q712" i="1"/>
  <c r="P712" i="1"/>
  <c r="O712" i="1"/>
  <c r="N712" i="1"/>
  <c r="M712" i="1"/>
  <c r="J712" i="1"/>
  <c r="I712" i="1"/>
  <c r="H712" i="1"/>
  <c r="F712" i="1"/>
  <c r="D712" i="1"/>
  <c r="B712" i="1"/>
  <c r="A712" i="1"/>
  <c r="U790" i="1"/>
  <c r="R790" i="1"/>
  <c r="Q790" i="1"/>
  <c r="P790" i="1"/>
  <c r="O790" i="1"/>
  <c r="N790" i="1"/>
  <c r="M790" i="1"/>
  <c r="J790" i="1"/>
  <c r="I790" i="1"/>
  <c r="H790" i="1"/>
  <c r="F790" i="1"/>
  <c r="D790" i="1"/>
  <c r="B790" i="1"/>
  <c r="A790" i="1"/>
  <c r="U718" i="1"/>
  <c r="R718" i="1"/>
  <c r="Q718" i="1"/>
  <c r="P718" i="1"/>
  <c r="O718" i="1"/>
  <c r="N718" i="1"/>
  <c r="M718" i="1"/>
  <c r="J718" i="1"/>
  <c r="I718" i="1"/>
  <c r="H718" i="1"/>
  <c r="F718" i="1"/>
  <c r="D718" i="1"/>
  <c r="B718" i="1"/>
  <c r="A718" i="1"/>
  <c r="U624" i="1"/>
  <c r="R624" i="1"/>
  <c r="Q624" i="1"/>
  <c r="P624" i="1"/>
  <c r="O624" i="1"/>
  <c r="N624" i="1"/>
  <c r="M624" i="1"/>
  <c r="I624" i="1"/>
  <c r="H624" i="1"/>
  <c r="F624" i="1"/>
  <c r="D624" i="1"/>
  <c r="B624" i="1"/>
  <c r="A624" i="1"/>
  <c r="U1238" i="1"/>
  <c r="R1238" i="1"/>
  <c r="Q1238" i="1"/>
  <c r="P1238" i="1"/>
  <c r="O1238" i="1"/>
  <c r="N1238" i="1"/>
  <c r="M1238" i="1"/>
  <c r="J1238" i="1"/>
  <c r="I1238" i="1"/>
  <c r="H1238" i="1"/>
  <c r="F1238" i="1"/>
  <c r="D1238" i="1"/>
  <c r="B1238" i="1"/>
  <c r="A1238" i="1"/>
  <c r="U1620" i="1"/>
  <c r="R1620" i="1"/>
  <c r="Q1620" i="1"/>
  <c r="P1620" i="1"/>
  <c r="O1620" i="1"/>
  <c r="N1620" i="1"/>
  <c r="M1620" i="1"/>
  <c r="J1620" i="1"/>
  <c r="I1620" i="1"/>
  <c r="H1620" i="1"/>
  <c r="F1620" i="1"/>
  <c r="D1620" i="1"/>
  <c r="B1620" i="1"/>
  <c r="A1620" i="1"/>
  <c r="U1761" i="1"/>
  <c r="R1761" i="1"/>
  <c r="Q1761" i="1"/>
  <c r="P1761" i="1"/>
  <c r="O1761" i="1"/>
  <c r="N1761" i="1"/>
  <c r="M1761" i="1"/>
  <c r="J1761" i="1"/>
  <c r="I1761" i="1"/>
  <c r="H1761" i="1"/>
  <c r="F1761" i="1"/>
  <c r="D1761" i="1"/>
  <c r="B1761" i="1"/>
  <c r="A1761" i="1"/>
  <c r="U1764" i="1"/>
  <c r="R1764" i="1"/>
  <c r="Q1764" i="1"/>
  <c r="P1764" i="1"/>
  <c r="O1764" i="1"/>
  <c r="N1764" i="1"/>
  <c r="M1764" i="1"/>
  <c r="K1764" i="1"/>
  <c r="J1764" i="1"/>
  <c r="I1764" i="1"/>
  <c r="H1764" i="1"/>
  <c r="F1764" i="1"/>
  <c r="D1764" i="1"/>
  <c r="B1764" i="1"/>
  <c r="A1764" i="1"/>
  <c r="U1763" i="1"/>
  <c r="R1763" i="1"/>
  <c r="Q1763" i="1"/>
  <c r="P1763" i="1"/>
  <c r="O1763" i="1"/>
  <c r="N1763" i="1"/>
  <c r="M1763" i="1"/>
  <c r="K1763" i="1"/>
  <c r="J1763" i="1"/>
  <c r="I1763" i="1"/>
  <c r="H1763" i="1"/>
  <c r="F1763" i="1"/>
  <c r="D1763" i="1"/>
  <c r="B1763" i="1"/>
  <c r="A1763" i="1"/>
  <c r="U1881" i="1"/>
  <c r="R1881" i="1"/>
  <c r="Q1881" i="1"/>
  <c r="P1881" i="1"/>
  <c r="O1881" i="1"/>
  <c r="N1881" i="1"/>
  <c r="M1881" i="1"/>
  <c r="J1881" i="1"/>
  <c r="I1881" i="1"/>
  <c r="H1881" i="1"/>
  <c r="F1881" i="1"/>
  <c r="E1881" i="1"/>
  <c r="D1881" i="1"/>
  <c r="B1881" i="1"/>
  <c r="A1881" i="1"/>
  <c r="U2386" i="1"/>
  <c r="R2386" i="1"/>
  <c r="Q2386" i="1"/>
  <c r="P2386" i="1"/>
  <c r="O2386" i="1"/>
  <c r="N2386" i="1"/>
  <c r="M2386" i="1"/>
  <c r="K2386" i="1"/>
  <c r="J2386" i="1"/>
  <c r="I2386" i="1"/>
  <c r="H2386" i="1"/>
  <c r="F2386" i="1"/>
  <c r="D2386" i="1"/>
  <c r="B2386" i="1"/>
  <c r="A2386" i="1"/>
  <c r="U2393" i="1"/>
  <c r="R2393" i="1"/>
  <c r="Q2393" i="1"/>
  <c r="P2393" i="1"/>
  <c r="O2393" i="1"/>
  <c r="N2393" i="1"/>
  <c r="M2393" i="1"/>
  <c r="K2393" i="1"/>
  <c r="J2393" i="1"/>
  <c r="I2393" i="1"/>
  <c r="H2393" i="1"/>
  <c r="F2393" i="1"/>
  <c r="D2393" i="1"/>
  <c r="B2393" i="1"/>
  <c r="A2393" i="1"/>
  <c r="U2436" i="1"/>
  <c r="R2436" i="1"/>
  <c r="Q2436" i="1"/>
  <c r="P2436" i="1"/>
  <c r="O2436" i="1"/>
  <c r="N2436" i="1"/>
  <c r="M2436" i="1"/>
  <c r="K2436" i="1"/>
  <c r="J2436" i="1"/>
  <c r="I2436" i="1"/>
  <c r="H2436" i="1"/>
  <c r="F2436" i="1"/>
  <c r="D2436" i="1"/>
  <c r="B2436" i="1"/>
  <c r="A2436" i="1"/>
  <c r="U2541" i="1"/>
  <c r="R2541" i="1"/>
  <c r="Q2541" i="1"/>
  <c r="P2541" i="1"/>
  <c r="O2541" i="1"/>
  <c r="N2541" i="1"/>
  <c r="M2541" i="1"/>
  <c r="K2541" i="1"/>
  <c r="J2541" i="1"/>
  <c r="I2541" i="1"/>
  <c r="H2541" i="1"/>
  <c r="F2541" i="1"/>
  <c r="D2541" i="1"/>
  <c r="B2541" i="1"/>
  <c r="A2541" i="1"/>
  <c r="U2625" i="1"/>
  <c r="R2625" i="1"/>
  <c r="Q2625" i="1"/>
  <c r="P2625" i="1"/>
  <c r="O2625" i="1"/>
  <c r="N2625" i="1"/>
  <c r="M2625" i="1"/>
  <c r="K2625" i="1"/>
  <c r="J2625" i="1"/>
  <c r="I2625" i="1"/>
  <c r="H2625" i="1"/>
  <c r="G2625" i="1"/>
  <c r="F2625" i="1"/>
  <c r="D2625" i="1"/>
  <c r="B2625" i="1"/>
  <c r="A2625" i="1"/>
  <c r="U2289" i="1"/>
  <c r="R2289" i="1"/>
  <c r="Q2289" i="1"/>
  <c r="P2289" i="1"/>
  <c r="O2289" i="1"/>
  <c r="N2289" i="1"/>
  <c r="M2289" i="1"/>
  <c r="K2289" i="1"/>
  <c r="J2289" i="1"/>
  <c r="I2289" i="1"/>
  <c r="H2289" i="1"/>
  <c r="F2289" i="1"/>
  <c r="D2289" i="1"/>
  <c r="B2289" i="1"/>
  <c r="A2289" i="1"/>
  <c r="U2777" i="1"/>
  <c r="R2777" i="1"/>
  <c r="Q2777" i="1"/>
  <c r="P2777" i="1"/>
  <c r="O2777" i="1"/>
  <c r="N2777" i="1"/>
  <c r="M2777" i="1"/>
  <c r="K2777" i="1"/>
  <c r="J2777" i="1"/>
  <c r="I2777" i="1"/>
  <c r="H2777" i="1"/>
  <c r="F2777" i="1"/>
  <c r="D2777" i="1"/>
  <c r="B2777" i="1"/>
  <c r="A2777" i="1"/>
  <c r="U2090" i="1"/>
  <c r="R2090" i="1"/>
  <c r="Q2090" i="1"/>
  <c r="P2090" i="1"/>
  <c r="O2090" i="1"/>
  <c r="N2090" i="1"/>
  <c r="M2090" i="1"/>
  <c r="K2090" i="1"/>
  <c r="J2090" i="1"/>
  <c r="I2090" i="1"/>
  <c r="H2090" i="1"/>
  <c r="F2090" i="1"/>
  <c r="D2090" i="1"/>
  <c r="B2090" i="1"/>
  <c r="A2090" i="1"/>
  <c r="U106" i="1"/>
  <c r="R106" i="1"/>
  <c r="Q106" i="1"/>
  <c r="P106" i="1"/>
  <c r="O106" i="1"/>
  <c r="N106" i="1"/>
  <c r="M106" i="1"/>
  <c r="J106" i="1"/>
  <c r="I106" i="1"/>
  <c r="H106" i="1"/>
  <c r="F106" i="1"/>
  <c r="D106" i="1"/>
  <c r="B106" i="1"/>
  <c r="A106" i="1"/>
  <c r="U764" i="1"/>
  <c r="R764" i="1"/>
  <c r="Q764" i="1"/>
  <c r="P764" i="1"/>
  <c r="O764" i="1"/>
  <c r="N764" i="1"/>
  <c r="M764" i="1"/>
  <c r="J764" i="1"/>
  <c r="I764" i="1"/>
  <c r="H764" i="1"/>
  <c r="F764" i="1"/>
  <c r="D764" i="1"/>
  <c r="B764" i="1"/>
  <c r="A764" i="1"/>
  <c r="U763" i="1"/>
  <c r="R763" i="1"/>
  <c r="Q763" i="1"/>
  <c r="P763" i="1"/>
  <c r="O763" i="1"/>
  <c r="N763" i="1"/>
  <c r="M763" i="1"/>
  <c r="J763" i="1"/>
  <c r="I763" i="1"/>
  <c r="H763" i="1"/>
  <c r="F763" i="1"/>
  <c r="D763" i="1"/>
  <c r="B763" i="1"/>
  <c r="A763" i="1"/>
  <c r="U508" i="1"/>
  <c r="R508" i="1"/>
  <c r="Q508" i="1"/>
  <c r="P508" i="1"/>
  <c r="O508" i="1"/>
  <c r="N508" i="1"/>
  <c r="M508" i="1"/>
  <c r="J508" i="1"/>
  <c r="I508" i="1"/>
  <c r="H508" i="1"/>
  <c r="F508" i="1"/>
  <c r="E508" i="1"/>
  <c r="D508" i="1"/>
  <c r="B508" i="1"/>
  <c r="A508" i="1"/>
  <c r="U1691" i="1"/>
  <c r="R1691" i="1"/>
  <c r="Q1691" i="1"/>
  <c r="P1691" i="1"/>
  <c r="O1691" i="1"/>
  <c r="N1691" i="1"/>
  <c r="M1691" i="1"/>
  <c r="J1691" i="1"/>
  <c r="I1691" i="1"/>
  <c r="H1691" i="1"/>
  <c r="F1691" i="1"/>
  <c r="D1691" i="1"/>
  <c r="A1691" i="1"/>
  <c r="U1801" i="1"/>
  <c r="R1801" i="1"/>
  <c r="Q1801" i="1"/>
  <c r="P1801" i="1"/>
  <c r="O1801" i="1"/>
  <c r="N1801" i="1"/>
  <c r="M1801" i="1"/>
  <c r="J1801" i="1"/>
  <c r="I1801" i="1"/>
  <c r="H1801" i="1"/>
  <c r="F1801" i="1"/>
  <c r="D1801" i="1"/>
  <c r="B1801" i="1"/>
  <c r="A1801" i="1"/>
  <c r="U1852" i="1"/>
  <c r="R1852" i="1"/>
  <c r="Q1852" i="1"/>
  <c r="P1852" i="1"/>
  <c r="O1852" i="1"/>
  <c r="N1852" i="1"/>
  <c r="M1852" i="1"/>
  <c r="J1852" i="1"/>
  <c r="I1852" i="1"/>
  <c r="H1852" i="1"/>
  <c r="F1852" i="1"/>
  <c r="D1852" i="1"/>
  <c r="B1852" i="1"/>
  <c r="A1852" i="1"/>
  <c r="U1868" i="1"/>
  <c r="R1868" i="1"/>
  <c r="Q1868" i="1"/>
  <c r="P1868" i="1"/>
  <c r="O1868" i="1"/>
  <c r="N1868" i="1"/>
  <c r="M1868" i="1"/>
  <c r="J1868" i="1"/>
  <c r="I1868" i="1"/>
  <c r="H1868" i="1"/>
  <c r="F1868" i="1"/>
  <c r="E1868" i="1"/>
  <c r="D1868" i="1"/>
  <c r="B1868" i="1"/>
  <c r="A1868" i="1"/>
  <c r="U2348" i="1"/>
  <c r="R2348" i="1"/>
  <c r="Q2348" i="1"/>
  <c r="P2348" i="1"/>
  <c r="O2348" i="1"/>
  <c r="N2348" i="1"/>
  <c r="M2348" i="1"/>
  <c r="K2348" i="1"/>
  <c r="J2348" i="1"/>
  <c r="I2348" i="1"/>
  <c r="H2348" i="1"/>
  <c r="G2348" i="1"/>
  <c r="F2348" i="1"/>
  <c r="D2348" i="1"/>
  <c r="B2348" i="1"/>
  <c r="A2348" i="1"/>
  <c r="U2157" i="1"/>
  <c r="R2157" i="1"/>
  <c r="Q2157" i="1"/>
  <c r="P2157" i="1"/>
  <c r="O2157" i="1"/>
  <c r="N2157" i="1"/>
  <c r="M2157" i="1"/>
  <c r="K2157" i="1"/>
  <c r="J2157" i="1"/>
  <c r="I2157" i="1"/>
  <c r="H2157" i="1"/>
  <c r="F2157" i="1"/>
  <c r="D2157" i="1"/>
  <c r="B2157" i="1"/>
  <c r="A2157" i="1"/>
  <c r="U3115" i="1"/>
  <c r="R3115" i="1"/>
  <c r="Q3115" i="1"/>
  <c r="P3115" i="1"/>
  <c r="O3115" i="1"/>
  <c r="N3115" i="1"/>
  <c r="M3115" i="1"/>
  <c r="K3115" i="1"/>
  <c r="J3115" i="1"/>
  <c r="I3115" i="1"/>
  <c r="H3115" i="1"/>
  <c r="F3115" i="1"/>
  <c r="D3115" i="1"/>
  <c r="B3115" i="1"/>
  <c r="A3115" i="1"/>
  <c r="U2616" i="1"/>
  <c r="R2616" i="1"/>
  <c r="Q2616" i="1"/>
  <c r="P2616" i="1"/>
  <c r="O2616" i="1"/>
  <c r="N2616" i="1"/>
  <c r="M2616" i="1"/>
  <c r="K2616" i="1"/>
  <c r="J2616" i="1"/>
  <c r="I2616" i="1"/>
  <c r="H2616" i="1"/>
  <c r="F2616" i="1"/>
  <c r="D2616" i="1"/>
  <c r="B2616" i="1"/>
  <c r="A2616" i="1"/>
  <c r="U2658" i="1"/>
  <c r="R2658" i="1"/>
  <c r="Q2658" i="1"/>
  <c r="P2658" i="1"/>
  <c r="O2658" i="1"/>
  <c r="N2658" i="1"/>
  <c r="M2658" i="1"/>
  <c r="K2658" i="1"/>
  <c r="J2658" i="1"/>
  <c r="I2658" i="1"/>
  <c r="H2658" i="1"/>
  <c r="F2658" i="1"/>
  <c r="D2658" i="1"/>
  <c r="B2658" i="1"/>
  <c r="A2658" i="1"/>
  <c r="U2726" i="1"/>
  <c r="R2726" i="1"/>
  <c r="Q2726" i="1"/>
  <c r="P2726" i="1"/>
  <c r="O2726" i="1"/>
  <c r="N2726" i="1"/>
  <c r="M2726" i="1"/>
  <c r="K2726" i="1"/>
  <c r="J2726" i="1"/>
  <c r="I2726" i="1"/>
  <c r="H2726" i="1"/>
  <c r="F2726" i="1"/>
  <c r="E2726" i="1"/>
  <c r="D2726" i="1"/>
  <c r="B2726" i="1"/>
  <c r="A2726" i="1"/>
  <c r="U2739" i="1"/>
  <c r="R2739" i="1"/>
  <c r="Q2739" i="1"/>
  <c r="P2739" i="1"/>
  <c r="O2739" i="1"/>
  <c r="N2739" i="1"/>
  <c r="M2739" i="1"/>
  <c r="K2739" i="1"/>
  <c r="J2739" i="1"/>
  <c r="I2739" i="1"/>
  <c r="H2739" i="1"/>
  <c r="F2739" i="1"/>
  <c r="E2739" i="1"/>
  <c r="D2739" i="1"/>
  <c r="B2739" i="1"/>
  <c r="A2739" i="1"/>
  <c r="U2877" i="1"/>
  <c r="R2877" i="1"/>
  <c r="Q2877" i="1"/>
  <c r="P2877" i="1"/>
  <c r="O2877" i="1"/>
  <c r="N2877" i="1"/>
  <c r="M2877" i="1"/>
  <c r="J2877" i="1"/>
  <c r="I2877" i="1"/>
  <c r="H2877" i="1"/>
  <c r="F2877" i="1"/>
  <c r="D2877" i="1"/>
  <c r="B2877" i="1"/>
  <c r="A2877" i="1"/>
  <c r="U2808" i="1"/>
  <c r="R2808" i="1"/>
  <c r="Q2808" i="1"/>
  <c r="P2808" i="1"/>
  <c r="O2808" i="1"/>
  <c r="N2808" i="1"/>
  <c r="M2808" i="1"/>
  <c r="J2808" i="1"/>
  <c r="I2808" i="1"/>
  <c r="H2808" i="1"/>
  <c r="F2808" i="1"/>
  <c r="D2808" i="1"/>
  <c r="B2808" i="1"/>
  <c r="A2808" i="1"/>
  <c r="U2082" i="1"/>
  <c r="R2082" i="1"/>
  <c r="Q2082" i="1"/>
  <c r="P2082" i="1"/>
  <c r="O2082" i="1"/>
  <c r="N2082" i="1"/>
  <c r="M2082" i="1"/>
  <c r="K2082" i="1"/>
  <c r="J2082" i="1"/>
  <c r="I2082" i="1"/>
  <c r="H2082" i="1"/>
  <c r="F2082" i="1"/>
  <c r="D2082" i="1"/>
  <c r="B2082" i="1"/>
  <c r="A2082" i="1"/>
  <c r="U214" i="1"/>
  <c r="R214" i="1"/>
  <c r="Q214" i="1"/>
  <c r="P214" i="1"/>
  <c r="O214" i="1"/>
  <c r="N214" i="1"/>
  <c r="M214" i="1"/>
  <c r="I214" i="1"/>
  <c r="H214" i="1"/>
  <c r="F214" i="1"/>
  <c r="D214" i="1"/>
  <c r="B214" i="1"/>
  <c r="A214" i="1"/>
  <c r="U446" i="1"/>
  <c r="R446" i="1"/>
  <c r="Q446" i="1"/>
  <c r="P446" i="1"/>
  <c r="O446" i="1"/>
  <c r="N446" i="1"/>
  <c r="M446" i="1"/>
  <c r="J446" i="1"/>
  <c r="I446" i="1"/>
  <c r="H446" i="1"/>
  <c r="F446" i="1"/>
  <c r="D446" i="1"/>
  <c r="B446" i="1"/>
  <c r="A446" i="1"/>
  <c r="U541" i="1"/>
  <c r="R541" i="1"/>
  <c r="Q541" i="1"/>
  <c r="P541" i="1"/>
  <c r="O541" i="1"/>
  <c r="N541" i="1"/>
  <c r="M541" i="1"/>
  <c r="J541" i="1"/>
  <c r="I541" i="1"/>
  <c r="H541" i="1"/>
  <c r="F541" i="1"/>
  <c r="D541" i="1"/>
  <c r="A541" i="1"/>
  <c r="U540" i="1"/>
  <c r="R540" i="1"/>
  <c r="Q540" i="1"/>
  <c r="P540" i="1"/>
  <c r="O540" i="1"/>
  <c r="N540" i="1"/>
  <c r="M540" i="1"/>
  <c r="J540" i="1"/>
  <c r="I540" i="1"/>
  <c r="H540" i="1"/>
  <c r="F540" i="1"/>
  <c r="D540" i="1"/>
  <c r="A540" i="1"/>
  <c r="U1281" i="1"/>
  <c r="R1281" i="1"/>
  <c r="Q1281" i="1"/>
  <c r="P1281" i="1"/>
  <c r="O1281" i="1"/>
  <c r="N1281" i="1"/>
  <c r="M1281" i="1"/>
  <c r="I1281" i="1"/>
  <c r="H1281" i="1"/>
  <c r="F1281" i="1"/>
  <c r="D1281" i="1"/>
  <c r="B1281" i="1"/>
  <c r="A1281" i="1"/>
  <c r="U1485" i="1"/>
  <c r="R1485" i="1"/>
  <c r="Q1485" i="1"/>
  <c r="P1485" i="1"/>
  <c r="O1485" i="1"/>
  <c r="N1485" i="1"/>
  <c r="M1485" i="1"/>
  <c r="I1485" i="1"/>
  <c r="H1485" i="1"/>
  <c r="F1485" i="1"/>
  <c r="D1485" i="1"/>
  <c r="A1485" i="1"/>
  <c r="U1880" i="1"/>
  <c r="R1880" i="1"/>
  <c r="Q1880" i="1"/>
  <c r="P1880" i="1"/>
  <c r="O1880" i="1"/>
  <c r="N1880" i="1"/>
  <c r="M1880" i="1"/>
  <c r="K1880" i="1"/>
  <c r="J1880" i="1"/>
  <c r="I1880" i="1"/>
  <c r="H1880" i="1"/>
  <c r="F1880" i="1"/>
  <c r="E1880" i="1"/>
  <c r="D1880" i="1"/>
  <c r="B1880" i="1"/>
  <c r="A1880" i="1"/>
  <c r="U2279" i="1"/>
  <c r="R2279" i="1"/>
  <c r="Q2279" i="1"/>
  <c r="P2279" i="1"/>
  <c r="O2279" i="1"/>
  <c r="N2279" i="1"/>
  <c r="M2279" i="1"/>
  <c r="K2279" i="1"/>
  <c r="J2279" i="1"/>
  <c r="I2279" i="1"/>
  <c r="H2279" i="1"/>
  <c r="F2279" i="1"/>
  <c r="D2279" i="1"/>
  <c r="B2279" i="1"/>
  <c r="A2279" i="1"/>
  <c r="U2429" i="1"/>
  <c r="R2429" i="1"/>
  <c r="Q2429" i="1"/>
  <c r="P2429" i="1"/>
  <c r="O2429" i="1"/>
  <c r="N2429" i="1"/>
  <c r="M2429" i="1"/>
  <c r="J2429" i="1"/>
  <c r="I2429" i="1"/>
  <c r="H2429" i="1"/>
  <c r="F2429" i="1"/>
  <c r="D2429" i="1"/>
  <c r="A2429" i="1"/>
  <c r="U2428" i="1"/>
  <c r="R2428" i="1"/>
  <c r="Q2428" i="1"/>
  <c r="P2428" i="1"/>
  <c r="O2428" i="1"/>
  <c r="N2428" i="1"/>
  <c r="M2428" i="1"/>
  <c r="K2428" i="1"/>
  <c r="J2428" i="1"/>
  <c r="I2428" i="1"/>
  <c r="H2428" i="1"/>
  <c r="F2428" i="1"/>
  <c r="E2428" i="1"/>
  <c r="D2428" i="1"/>
  <c r="A2428" i="1"/>
  <c r="U2498" i="1"/>
  <c r="R2498" i="1"/>
  <c r="Q2498" i="1"/>
  <c r="P2498" i="1"/>
  <c r="O2498" i="1"/>
  <c r="N2498" i="1"/>
  <c r="M2498" i="1"/>
  <c r="K2498" i="1"/>
  <c r="J2498" i="1"/>
  <c r="I2498" i="1"/>
  <c r="H2498" i="1"/>
  <c r="F2498" i="1"/>
  <c r="D2498" i="1"/>
  <c r="B2498" i="1"/>
  <c r="A2498" i="1"/>
  <c r="U2060" i="1"/>
  <c r="R2060" i="1"/>
  <c r="Q2060" i="1"/>
  <c r="P2060" i="1"/>
  <c r="O2060" i="1"/>
  <c r="N2060" i="1"/>
  <c r="M2060" i="1"/>
  <c r="K2060" i="1"/>
  <c r="J2060" i="1"/>
  <c r="I2060" i="1"/>
  <c r="H2060" i="1"/>
  <c r="F2060" i="1"/>
  <c r="D2060" i="1"/>
  <c r="B2060" i="1"/>
  <c r="A2060" i="1"/>
  <c r="U2203" i="1"/>
  <c r="R2203" i="1"/>
  <c r="Q2203" i="1"/>
  <c r="P2203" i="1"/>
  <c r="O2203" i="1"/>
  <c r="N2203" i="1"/>
  <c r="M2203" i="1"/>
  <c r="K2203" i="1"/>
  <c r="J2203" i="1"/>
  <c r="I2203" i="1"/>
  <c r="H2203" i="1"/>
  <c r="F2203" i="1"/>
  <c r="D2203" i="1"/>
  <c r="B2203" i="1"/>
  <c r="A2203" i="1"/>
  <c r="U2128" i="1"/>
  <c r="R2128" i="1"/>
  <c r="Q2128" i="1"/>
  <c r="P2128" i="1"/>
  <c r="O2128" i="1"/>
  <c r="N2128" i="1"/>
  <c r="M2128" i="1"/>
  <c r="K2128" i="1"/>
  <c r="J2128" i="1"/>
  <c r="I2128" i="1"/>
  <c r="H2128" i="1"/>
  <c r="F2128" i="1"/>
  <c r="D2128" i="1"/>
  <c r="B2128" i="1"/>
  <c r="A2128" i="1"/>
  <c r="U2202" i="1"/>
  <c r="R2202" i="1"/>
  <c r="Q2202" i="1"/>
  <c r="P2202" i="1"/>
  <c r="O2202" i="1"/>
  <c r="N2202" i="1"/>
  <c r="M2202" i="1"/>
  <c r="K2202" i="1"/>
  <c r="J2202" i="1"/>
  <c r="I2202" i="1"/>
  <c r="H2202" i="1"/>
  <c r="F2202" i="1"/>
  <c r="D2202" i="1"/>
  <c r="B2202" i="1"/>
  <c r="A2202" i="1"/>
  <c r="U2127" i="1"/>
  <c r="R2127" i="1"/>
  <c r="Q2127" i="1"/>
  <c r="P2127" i="1"/>
  <c r="O2127" i="1"/>
  <c r="N2127" i="1"/>
  <c r="M2127" i="1"/>
  <c r="K2127" i="1"/>
  <c r="J2127" i="1"/>
  <c r="I2127" i="1"/>
  <c r="H2127" i="1"/>
  <c r="F2127" i="1"/>
  <c r="D2127" i="1"/>
  <c r="B2127" i="1"/>
  <c r="A2127" i="1"/>
  <c r="U2546" i="1"/>
  <c r="R2546" i="1"/>
  <c r="Q2546" i="1"/>
  <c r="P2546" i="1"/>
  <c r="O2546" i="1"/>
  <c r="N2546" i="1"/>
  <c r="M2546" i="1"/>
  <c r="K2546" i="1"/>
  <c r="J2546" i="1"/>
  <c r="I2546" i="1"/>
  <c r="H2546" i="1"/>
  <c r="F2546" i="1"/>
  <c r="D2546" i="1"/>
  <c r="B2546" i="1"/>
  <c r="A2546" i="1"/>
  <c r="U2690" i="1"/>
  <c r="R2690" i="1"/>
  <c r="Q2690" i="1"/>
  <c r="P2690" i="1"/>
  <c r="O2690" i="1"/>
  <c r="N2690" i="1"/>
  <c r="M2690" i="1"/>
  <c r="J2690" i="1"/>
  <c r="I2690" i="1"/>
  <c r="H2690" i="1"/>
  <c r="F2690" i="1"/>
  <c r="D2690" i="1"/>
  <c r="B2690" i="1"/>
  <c r="A2690" i="1"/>
  <c r="U2527" i="1"/>
  <c r="R2527" i="1"/>
  <c r="Q2527" i="1"/>
  <c r="P2527" i="1"/>
  <c r="O2527" i="1"/>
  <c r="N2527" i="1"/>
  <c r="M2527" i="1"/>
  <c r="J2527" i="1"/>
  <c r="I2527" i="1"/>
  <c r="H2527" i="1"/>
  <c r="G2527" i="1"/>
  <c r="F2527" i="1"/>
  <c r="D2527" i="1"/>
  <c r="B2527" i="1"/>
  <c r="A2527" i="1"/>
  <c r="U2072" i="1"/>
  <c r="R2072" i="1"/>
  <c r="Q2072" i="1"/>
  <c r="P2072" i="1"/>
  <c r="O2072" i="1"/>
  <c r="N2072" i="1"/>
  <c r="M2072" i="1"/>
  <c r="K2072" i="1"/>
  <c r="J2072" i="1"/>
  <c r="I2072" i="1"/>
  <c r="H2072" i="1"/>
  <c r="F2072" i="1"/>
  <c r="D2072" i="1"/>
  <c r="B2072" i="1"/>
  <c r="A2072" i="1"/>
  <c r="U2341" i="1"/>
  <c r="R2341" i="1"/>
  <c r="Q2341" i="1"/>
  <c r="P2341" i="1"/>
  <c r="O2341" i="1"/>
  <c r="N2341" i="1"/>
  <c r="M2341" i="1"/>
  <c r="K2341" i="1"/>
  <c r="J2341" i="1"/>
  <c r="I2341" i="1"/>
  <c r="H2341" i="1"/>
  <c r="F2341" i="1"/>
  <c r="D2341" i="1"/>
  <c r="B2341" i="1"/>
  <c r="A2341" i="1"/>
  <c r="U2425" i="1"/>
  <c r="R2425" i="1"/>
  <c r="Q2425" i="1"/>
  <c r="P2425" i="1"/>
  <c r="O2425" i="1"/>
  <c r="N2425" i="1"/>
  <c r="M2425" i="1"/>
  <c r="K2425" i="1"/>
  <c r="J2425" i="1"/>
  <c r="I2425" i="1"/>
  <c r="H2425" i="1"/>
  <c r="F2425" i="1"/>
  <c r="E2425" i="1"/>
  <c r="D2425" i="1"/>
  <c r="B2425" i="1"/>
  <c r="A2425" i="1"/>
  <c r="U2801" i="1"/>
  <c r="R2801" i="1"/>
  <c r="Q2801" i="1"/>
  <c r="P2801" i="1"/>
  <c r="O2801" i="1"/>
  <c r="N2801" i="1"/>
  <c r="M2801" i="1"/>
  <c r="K2801" i="1"/>
  <c r="J2801" i="1"/>
  <c r="I2801" i="1"/>
  <c r="H2801" i="1"/>
  <c r="F2801" i="1"/>
  <c r="E2801" i="1"/>
  <c r="D2801" i="1"/>
  <c r="B2801" i="1"/>
  <c r="A2801" i="1"/>
  <c r="U2446" i="1"/>
  <c r="R2446" i="1"/>
  <c r="Q2446" i="1"/>
  <c r="P2446" i="1"/>
  <c r="O2446" i="1"/>
  <c r="N2446" i="1"/>
  <c r="M2446" i="1"/>
  <c r="K2446" i="1"/>
  <c r="J2446" i="1"/>
  <c r="I2446" i="1"/>
  <c r="H2446" i="1"/>
  <c r="F2446" i="1"/>
  <c r="E2446" i="1"/>
  <c r="D2446" i="1"/>
  <c r="B2446" i="1"/>
  <c r="A2446" i="1"/>
  <c r="U2332" i="1"/>
  <c r="R2332" i="1"/>
  <c r="Q2332" i="1"/>
  <c r="P2332" i="1"/>
  <c r="O2332" i="1"/>
  <c r="N2332" i="1"/>
  <c r="M2332" i="1"/>
  <c r="K2332" i="1"/>
  <c r="J2332" i="1"/>
  <c r="I2332" i="1"/>
  <c r="H2332" i="1"/>
  <c r="F2332" i="1"/>
  <c r="D2332" i="1"/>
  <c r="B2332" i="1"/>
  <c r="A2332" i="1"/>
  <c r="U2677" i="1"/>
  <c r="R2677" i="1"/>
  <c r="Q2677" i="1"/>
  <c r="P2677" i="1"/>
  <c r="O2677" i="1"/>
  <c r="N2677" i="1"/>
  <c r="M2677" i="1"/>
  <c r="K2677" i="1"/>
  <c r="J2677" i="1"/>
  <c r="I2677" i="1"/>
  <c r="H2677" i="1"/>
  <c r="F2677" i="1"/>
  <c r="D2677" i="1"/>
  <c r="B2677" i="1"/>
  <c r="A2677" i="1"/>
  <c r="U2526" i="1"/>
  <c r="R2526" i="1"/>
  <c r="Q2526" i="1"/>
  <c r="P2526" i="1"/>
  <c r="O2526" i="1"/>
  <c r="N2526" i="1"/>
  <c r="M2526" i="1"/>
  <c r="J2526" i="1"/>
  <c r="I2526" i="1"/>
  <c r="H2526" i="1"/>
  <c r="F2526" i="1"/>
  <c r="D2526" i="1"/>
  <c r="A2526" i="1"/>
  <c r="U2666" i="1"/>
  <c r="R2666" i="1"/>
  <c r="Q2666" i="1"/>
  <c r="P2666" i="1"/>
  <c r="O2666" i="1"/>
  <c r="N2666" i="1"/>
  <c r="M2666" i="1"/>
  <c r="J2666" i="1"/>
  <c r="I2666" i="1"/>
  <c r="H2666" i="1"/>
  <c r="F2666" i="1"/>
  <c r="E2666" i="1"/>
  <c r="D2666" i="1"/>
  <c r="B2666" i="1"/>
  <c r="A2666" i="1"/>
  <c r="U2803" i="1"/>
  <c r="R2803" i="1"/>
  <c r="Q2803" i="1"/>
  <c r="P2803" i="1"/>
  <c r="O2803" i="1"/>
  <c r="N2803" i="1"/>
  <c r="M2803" i="1"/>
  <c r="K2803" i="1"/>
  <c r="J2803" i="1"/>
  <c r="I2803" i="1"/>
  <c r="H2803" i="1"/>
  <c r="F2803" i="1"/>
  <c r="D2803" i="1"/>
  <c r="B2803" i="1"/>
  <c r="A2803" i="1"/>
  <c r="U2545" i="1"/>
  <c r="R2545" i="1"/>
  <c r="Q2545" i="1"/>
  <c r="P2545" i="1"/>
  <c r="O2545" i="1"/>
  <c r="N2545" i="1"/>
  <c r="M2545" i="1"/>
  <c r="K2545" i="1"/>
  <c r="J2545" i="1"/>
  <c r="I2545" i="1"/>
  <c r="H2545" i="1"/>
  <c r="F2545" i="1"/>
  <c r="D2545" i="1"/>
  <c r="B2545" i="1"/>
  <c r="A2545" i="1"/>
  <c r="U2544" i="1"/>
  <c r="R2544" i="1"/>
  <c r="Q2544" i="1"/>
  <c r="P2544" i="1"/>
  <c r="O2544" i="1"/>
  <c r="N2544" i="1"/>
  <c r="M2544" i="1"/>
  <c r="K2544" i="1"/>
  <c r="J2544" i="1"/>
  <c r="I2544" i="1"/>
  <c r="H2544" i="1"/>
  <c r="F2544" i="1"/>
  <c r="D2544" i="1"/>
  <c r="B2544" i="1"/>
  <c r="A2544" i="1"/>
  <c r="U2288" i="1"/>
  <c r="R2288" i="1"/>
  <c r="Q2288" i="1"/>
  <c r="P2288" i="1"/>
  <c r="O2288" i="1"/>
  <c r="N2288" i="1"/>
  <c r="M2288" i="1"/>
  <c r="K2288" i="1"/>
  <c r="J2288" i="1"/>
  <c r="I2288" i="1"/>
  <c r="H2288" i="1"/>
  <c r="F2288" i="1"/>
  <c r="D2288" i="1"/>
  <c r="B2288" i="1"/>
  <c r="A2288" i="1"/>
  <c r="U2543" i="1"/>
  <c r="R2543" i="1"/>
  <c r="Q2543" i="1"/>
  <c r="P2543" i="1"/>
  <c r="O2543" i="1"/>
  <c r="N2543" i="1"/>
  <c r="M2543" i="1"/>
  <c r="K2543" i="1"/>
  <c r="J2543" i="1"/>
  <c r="I2543" i="1"/>
  <c r="H2543" i="1"/>
  <c r="F2543" i="1"/>
  <c r="D2543" i="1"/>
  <c r="B2543" i="1"/>
  <c r="A2543" i="1"/>
  <c r="U89" i="1"/>
  <c r="R89" i="1"/>
  <c r="Q89" i="1"/>
  <c r="P89" i="1"/>
  <c r="O89" i="1"/>
  <c r="N89" i="1"/>
  <c r="M89" i="1"/>
  <c r="I89" i="1"/>
  <c r="H89" i="1"/>
  <c r="F89" i="1"/>
  <c r="D89" i="1"/>
  <c r="B89" i="1"/>
  <c r="A89" i="1"/>
  <c r="U178" i="1"/>
  <c r="R178" i="1"/>
  <c r="Q178" i="1"/>
  <c r="P178" i="1"/>
  <c r="O178" i="1"/>
  <c r="N178" i="1"/>
  <c r="M178" i="1"/>
  <c r="J178" i="1"/>
  <c r="I178" i="1"/>
  <c r="H178" i="1"/>
  <c r="F178" i="1"/>
  <c r="D178" i="1"/>
  <c r="B178" i="1"/>
  <c r="A178" i="1"/>
  <c r="U30" i="1"/>
  <c r="R30" i="1"/>
  <c r="Q30" i="1"/>
  <c r="P30" i="1"/>
  <c r="O30" i="1"/>
  <c r="N30" i="1"/>
  <c r="M30" i="1"/>
  <c r="I30" i="1"/>
  <c r="H30" i="1"/>
  <c r="F30" i="1"/>
  <c r="E30" i="1"/>
  <c r="D30" i="1"/>
  <c r="B30" i="1"/>
  <c r="A30" i="1"/>
  <c r="U250" i="1"/>
  <c r="R250" i="1"/>
  <c r="Q250" i="1"/>
  <c r="P250" i="1"/>
  <c r="O250" i="1"/>
  <c r="N250" i="1"/>
  <c r="M250" i="1"/>
  <c r="I250" i="1"/>
  <c r="H250" i="1"/>
  <c r="F250" i="1"/>
  <c r="D250" i="1"/>
  <c r="B250" i="1"/>
  <c r="A250" i="1"/>
  <c r="U339" i="1"/>
  <c r="R339" i="1"/>
  <c r="Q339" i="1"/>
  <c r="P339" i="1"/>
  <c r="O339" i="1"/>
  <c r="N339" i="1"/>
  <c r="M339" i="1"/>
  <c r="I339" i="1"/>
  <c r="H339" i="1"/>
  <c r="F339" i="1"/>
  <c r="D339" i="1"/>
  <c r="B339" i="1"/>
  <c r="A339" i="1"/>
  <c r="U231" i="1"/>
  <c r="R231" i="1"/>
  <c r="Q231" i="1"/>
  <c r="P231" i="1"/>
  <c r="O231" i="1"/>
  <c r="N231" i="1"/>
  <c r="M231" i="1"/>
  <c r="I231" i="1"/>
  <c r="H231" i="1"/>
  <c r="F231" i="1"/>
  <c r="D231" i="1"/>
  <c r="B231" i="1"/>
  <c r="A231" i="1"/>
  <c r="U210" i="1"/>
  <c r="R210" i="1"/>
  <c r="Q210" i="1"/>
  <c r="P210" i="1"/>
  <c r="O210" i="1"/>
  <c r="N210" i="1"/>
  <c r="M210" i="1"/>
  <c r="I210" i="1"/>
  <c r="H210" i="1"/>
  <c r="F210" i="1"/>
  <c r="D210" i="1"/>
  <c r="B210" i="1"/>
  <c r="A210" i="1"/>
  <c r="U594" i="1"/>
  <c r="R594" i="1"/>
  <c r="Q594" i="1"/>
  <c r="P594" i="1"/>
  <c r="O594" i="1"/>
  <c r="N594" i="1"/>
  <c r="M594" i="1"/>
  <c r="I594" i="1"/>
  <c r="H594" i="1"/>
  <c r="G594" i="1"/>
  <c r="F594" i="1"/>
  <c r="E594" i="1"/>
  <c r="D594" i="1"/>
  <c r="B594" i="1"/>
  <c r="A594" i="1"/>
  <c r="U633" i="1"/>
  <c r="R633" i="1"/>
  <c r="Q633" i="1"/>
  <c r="P633" i="1"/>
  <c r="O633" i="1"/>
  <c r="N633" i="1"/>
  <c r="M633" i="1"/>
  <c r="I633" i="1"/>
  <c r="H633" i="1"/>
  <c r="F633" i="1"/>
  <c r="D633" i="1"/>
  <c r="B633" i="1"/>
  <c r="A633" i="1"/>
  <c r="U711" i="1"/>
  <c r="R711" i="1"/>
  <c r="Q711" i="1"/>
  <c r="P711" i="1"/>
  <c r="O711" i="1"/>
  <c r="N711" i="1"/>
  <c r="M711" i="1"/>
  <c r="J711" i="1"/>
  <c r="I711" i="1"/>
  <c r="H711" i="1"/>
  <c r="F711" i="1"/>
  <c r="D711" i="1"/>
  <c r="A711" i="1"/>
  <c r="U526" i="1"/>
  <c r="R526" i="1"/>
  <c r="Q526" i="1"/>
  <c r="P526" i="1"/>
  <c r="O526" i="1"/>
  <c r="N526" i="1"/>
  <c r="M526" i="1"/>
  <c r="J526" i="1"/>
  <c r="I526" i="1"/>
  <c r="H526" i="1"/>
  <c r="F526" i="1"/>
  <c r="D526" i="1"/>
  <c r="A526" i="1"/>
  <c r="U733" i="1"/>
  <c r="R733" i="1"/>
  <c r="Q733" i="1"/>
  <c r="P733" i="1"/>
  <c r="O733" i="1"/>
  <c r="N733" i="1"/>
  <c r="M733" i="1"/>
  <c r="I733" i="1"/>
  <c r="H733" i="1"/>
  <c r="F733" i="1"/>
  <c r="D733" i="1"/>
  <c r="B733" i="1"/>
  <c r="A733" i="1"/>
  <c r="U835" i="1"/>
  <c r="R835" i="1"/>
  <c r="Q835" i="1"/>
  <c r="P835" i="1"/>
  <c r="O835" i="1"/>
  <c r="N835" i="1"/>
  <c r="M835" i="1"/>
  <c r="J835" i="1"/>
  <c r="I835" i="1"/>
  <c r="H835" i="1"/>
  <c r="F835" i="1"/>
  <c r="D835" i="1"/>
  <c r="B835" i="1"/>
  <c r="A835" i="1"/>
  <c r="U1101" i="1"/>
  <c r="R1101" i="1"/>
  <c r="Q1101" i="1"/>
  <c r="P1101" i="1"/>
  <c r="O1101" i="1"/>
  <c r="N1101" i="1"/>
  <c r="M1101" i="1"/>
  <c r="J1101" i="1"/>
  <c r="I1101" i="1"/>
  <c r="H1101" i="1"/>
  <c r="F1101" i="1"/>
  <c r="D1101" i="1"/>
  <c r="B1101" i="1"/>
  <c r="A1101" i="1"/>
  <c r="U1280" i="1"/>
  <c r="R1280" i="1"/>
  <c r="Q1280" i="1"/>
  <c r="P1280" i="1"/>
  <c r="O1280" i="1"/>
  <c r="N1280" i="1"/>
  <c r="M1280" i="1"/>
  <c r="J1280" i="1"/>
  <c r="I1280" i="1"/>
  <c r="H1280" i="1"/>
  <c r="F1280" i="1"/>
  <c r="D1280" i="1"/>
  <c r="A1280" i="1"/>
  <c r="U1319" i="1"/>
  <c r="R1319" i="1"/>
  <c r="Q1319" i="1"/>
  <c r="P1319" i="1"/>
  <c r="O1319" i="1"/>
  <c r="N1319" i="1"/>
  <c r="M1319" i="1"/>
  <c r="J1319" i="1"/>
  <c r="I1319" i="1"/>
  <c r="H1319" i="1"/>
  <c r="F1319" i="1"/>
  <c r="D1319" i="1"/>
  <c r="B1319" i="1"/>
  <c r="A1319" i="1"/>
  <c r="U1707" i="1"/>
  <c r="R1707" i="1"/>
  <c r="Q1707" i="1"/>
  <c r="P1707" i="1"/>
  <c r="O1707" i="1"/>
  <c r="N1707" i="1"/>
  <c r="M1707" i="1"/>
  <c r="J1707" i="1"/>
  <c r="I1707" i="1"/>
  <c r="H1707" i="1"/>
  <c r="F1707" i="1"/>
  <c r="D1707" i="1"/>
  <c r="B1707" i="1"/>
  <c r="A1707" i="1"/>
  <c r="U1738" i="1"/>
  <c r="R1738" i="1"/>
  <c r="Q1738" i="1"/>
  <c r="P1738" i="1"/>
  <c r="O1738" i="1"/>
  <c r="N1738" i="1"/>
  <c r="M1738" i="1"/>
  <c r="J1738" i="1"/>
  <c r="I1738" i="1"/>
  <c r="H1738" i="1"/>
  <c r="F1738" i="1"/>
  <c r="D1738" i="1"/>
  <c r="B1738" i="1"/>
  <c r="A1738" i="1"/>
  <c r="U1822" i="1"/>
  <c r="R1822" i="1"/>
  <c r="Q1822" i="1"/>
  <c r="P1822" i="1"/>
  <c r="O1822" i="1"/>
  <c r="N1822" i="1"/>
  <c r="M1822" i="1"/>
  <c r="J1822" i="1"/>
  <c r="I1822" i="1"/>
  <c r="H1822" i="1"/>
  <c r="F1822" i="1"/>
  <c r="D1822" i="1"/>
  <c r="B1822" i="1"/>
  <c r="A1822" i="1"/>
  <c r="U2112" i="1"/>
  <c r="R2112" i="1"/>
  <c r="Q2112" i="1"/>
  <c r="P2112" i="1"/>
  <c r="O2112" i="1"/>
  <c r="N2112" i="1"/>
  <c r="M2112" i="1"/>
  <c r="K2112" i="1"/>
  <c r="J2112" i="1"/>
  <c r="I2112" i="1"/>
  <c r="H2112" i="1"/>
  <c r="F2112" i="1"/>
  <c r="E2112" i="1"/>
  <c r="D2112" i="1"/>
  <c r="A2112" i="1"/>
  <c r="U2201" i="1"/>
  <c r="R2201" i="1"/>
  <c r="Q2201" i="1"/>
  <c r="P2201" i="1"/>
  <c r="O2201" i="1"/>
  <c r="N2201" i="1"/>
  <c r="M2201" i="1"/>
  <c r="K2201" i="1"/>
  <c r="J2201" i="1"/>
  <c r="I2201" i="1"/>
  <c r="H2201" i="1"/>
  <c r="F2201" i="1"/>
  <c r="D2201" i="1"/>
  <c r="B2201" i="1"/>
  <c r="A2201" i="1"/>
  <c r="U2200" i="1"/>
  <c r="R2200" i="1"/>
  <c r="Q2200" i="1"/>
  <c r="P2200" i="1"/>
  <c r="O2200" i="1"/>
  <c r="N2200" i="1"/>
  <c r="M2200" i="1"/>
  <c r="J2200" i="1"/>
  <c r="I2200" i="1"/>
  <c r="H2200" i="1"/>
  <c r="F2200" i="1"/>
  <c r="D2200" i="1"/>
  <c r="B2200" i="1"/>
  <c r="A2200" i="1"/>
  <c r="U2392" i="1"/>
  <c r="R2392" i="1"/>
  <c r="Q2392" i="1"/>
  <c r="P2392" i="1"/>
  <c r="O2392" i="1"/>
  <c r="N2392" i="1"/>
  <c r="M2392" i="1"/>
  <c r="K2392" i="1"/>
  <c r="J2392" i="1"/>
  <c r="I2392" i="1"/>
  <c r="H2392" i="1"/>
  <c r="F2392" i="1"/>
  <c r="D2392" i="1"/>
  <c r="B2392" i="1"/>
  <c r="A2392" i="1"/>
  <c r="U1959" i="1"/>
  <c r="R1959" i="1"/>
  <c r="Q1959" i="1"/>
  <c r="P1959" i="1"/>
  <c r="O1959" i="1"/>
  <c r="N1959" i="1"/>
  <c r="M1959" i="1"/>
  <c r="K1959" i="1"/>
  <c r="J1959" i="1"/>
  <c r="I1959" i="1"/>
  <c r="H1959" i="1"/>
  <c r="F1959" i="1"/>
  <c r="D1959" i="1"/>
  <c r="B1959" i="1"/>
  <c r="A1959" i="1"/>
  <c r="U2140" i="1"/>
  <c r="R2140" i="1"/>
  <c r="Q2140" i="1"/>
  <c r="P2140" i="1"/>
  <c r="O2140" i="1"/>
  <c r="N2140" i="1"/>
  <c r="M2140" i="1"/>
  <c r="K2140" i="1"/>
  <c r="J2140" i="1"/>
  <c r="I2140" i="1"/>
  <c r="H2140" i="1"/>
  <c r="F2140" i="1"/>
  <c r="D2140" i="1"/>
  <c r="B2140" i="1"/>
  <c r="A2140" i="1"/>
  <c r="U2283" i="1"/>
  <c r="R2283" i="1"/>
  <c r="Q2283" i="1"/>
  <c r="P2283" i="1"/>
  <c r="O2283" i="1"/>
  <c r="N2283" i="1"/>
  <c r="M2283" i="1"/>
  <c r="K2283" i="1"/>
  <c r="J2283" i="1"/>
  <c r="I2283" i="1"/>
  <c r="H2283" i="1"/>
  <c r="F2283" i="1"/>
  <c r="D2283" i="1"/>
  <c r="A2283" i="1"/>
  <c r="U2273" i="1"/>
  <c r="R2273" i="1"/>
  <c r="Q2273" i="1"/>
  <c r="P2273" i="1"/>
  <c r="O2273" i="1"/>
  <c r="N2273" i="1"/>
  <c r="M2273" i="1"/>
  <c r="K2273" i="1"/>
  <c r="J2273" i="1"/>
  <c r="I2273" i="1"/>
  <c r="H2273" i="1"/>
  <c r="F2273" i="1"/>
  <c r="E2273" i="1"/>
  <c r="D2273" i="1"/>
  <c r="B2273" i="1"/>
  <c r="A2273" i="1"/>
  <c r="U2106" i="1"/>
  <c r="R2106" i="1"/>
  <c r="Q2106" i="1"/>
  <c r="P2106" i="1"/>
  <c r="O2106" i="1"/>
  <c r="N2106" i="1"/>
  <c r="M2106" i="1"/>
  <c r="J2106" i="1"/>
  <c r="I2106" i="1"/>
  <c r="H2106" i="1"/>
  <c r="F2106" i="1"/>
  <c r="D2106" i="1"/>
  <c r="B2106" i="1"/>
  <c r="A2106" i="1"/>
  <c r="U2199" i="1"/>
  <c r="R2199" i="1"/>
  <c r="Q2199" i="1"/>
  <c r="P2199" i="1"/>
  <c r="O2199" i="1"/>
  <c r="N2199" i="1"/>
  <c r="M2199" i="1"/>
  <c r="K2199" i="1"/>
  <c r="J2199" i="1"/>
  <c r="I2199" i="1"/>
  <c r="H2199" i="1"/>
  <c r="F2199" i="1"/>
  <c r="D2199" i="1"/>
  <c r="B2199" i="1"/>
  <c r="A2199" i="1"/>
  <c r="U2307" i="1"/>
  <c r="R2307" i="1"/>
  <c r="Q2307" i="1"/>
  <c r="P2307" i="1"/>
  <c r="O2307" i="1"/>
  <c r="N2307" i="1"/>
  <c r="M2307" i="1"/>
  <c r="K2307" i="1"/>
  <c r="J2307" i="1"/>
  <c r="I2307" i="1"/>
  <c r="H2307" i="1"/>
  <c r="F2307" i="1"/>
  <c r="D2307" i="1"/>
  <c r="B2307" i="1"/>
  <c r="A2307" i="1"/>
  <c r="U2674" i="1"/>
  <c r="R2674" i="1"/>
  <c r="Q2674" i="1"/>
  <c r="P2674" i="1"/>
  <c r="O2674" i="1"/>
  <c r="N2674" i="1"/>
  <c r="M2674" i="1"/>
  <c r="J2674" i="1"/>
  <c r="I2674" i="1"/>
  <c r="H2674" i="1"/>
  <c r="F2674" i="1"/>
  <c r="D2674" i="1"/>
  <c r="B2674" i="1"/>
  <c r="A2674" i="1"/>
  <c r="U2685" i="1"/>
  <c r="R2685" i="1"/>
  <c r="Q2685" i="1"/>
  <c r="P2685" i="1"/>
  <c r="O2685" i="1"/>
  <c r="N2685" i="1"/>
  <c r="M2685" i="1"/>
  <c r="J2685" i="1"/>
  <c r="I2685" i="1"/>
  <c r="H2685" i="1"/>
  <c r="F2685" i="1"/>
  <c r="D2685" i="1"/>
  <c r="B2685" i="1"/>
  <c r="A2685" i="1"/>
  <c r="U223" i="1"/>
  <c r="R223" i="1"/>
  <c r="Q223" i="1"/>
  <c r="P223" i="1"/>
  <c r="O223" i="1"/>
  <c r="N223" i="1"/>
  <c r="M223" i="1"/>
  <c r="I223" i="1"/>
  <c r="H223" i="1"/>
  <c r="F223" i="1"/>
  <c r="D223" i="1"/>
  <c r="B223" i="1"/>
  <c r="A223" i="1"/>
  <c r="U493" i="1"/>
  <c r="R493" i="1"/>
  <c r="Q493" i="1"/>
  <c r="P493" i="1"/>
  <c r="O493" i="1"/>
  <c r="N493" i="1"/>
  <c r="M493" i="1"/>
  <c r="I493" i="1"/>
  <c r="H493" i="1"/>
  <c r="F493" i="1"/>
  <c r="D493" i="1"/>
  <c r="B493" i="1"/>
  <c r="A493" i="1"/>
  <c r="U352" i="1"/>
  <c r="R352" i="1"/>
  <c r="Q352" i="1"/>
  <c r="P352" i="1"/>
  <c r="O352" i="1"/>
  <c r="N352" i="1"/>
  <c r="M352" i="1"/>
  <c r="J352" i="1"/>
  <c r="I352" i="1"/>
  <c r="H352" i="1"/>
  <c r="F352" i="1"/>
  <c r="D352" i="1"/>
  <c r="B352" i="1"/>
  <c r="A352" i="1"/>
  <c r="U478" i="1"/>
  <c r="R478" i="1"/>
  <c r="Q478" i="1"/>
  <c r="P478" i="1"/>
  <c r="O478" i="1"/>
  <c r="N478" i="1"/>
  <c r="M478" i="1"/>
  <c r="I478" i="1"/>
  <c r="H478" i="1"/>
  <c r="F478" i="1"/>
  <c r="D478" i="1"/>
  <c r="B478" i="1"/>
  <c r="A478" i="1"/>
  <c r="U207" i="1"/>
  <c r="R207" i="1"/>
  <c r="Q207" i="1"/>
  <c r="P207" i="1"/>
  <c r="O207" i="1"/>
  <c r="N207" i="1"/>
  <c r="M207" i="1"/>
  <c r="I207" i="1"/>
  <c r="H207" i="1"/>
  <c r="F207" i="1"/>
  <c r="D207" i="1"/>
  <c r="B207" i="1"/>
  <c r="A207" i="1"/>
  <c r="U788" i="1"/>
  <c r="R788" i="1"/>
  <c r="Q788" i="1"/>
  <c r="P788" i="1"/>
  <c r="O788" i="1"/>
  <c r="N788" i="1"/>
  <c r="M788" i="1"/>
  <c r="J788" i="1"/>
  <c r="I788" i="1"/>
  <c r="H788" i="1"/>
  <c r="F788" i="1"/>
  <c r="D788" i="1"/>
  <c r="B788" i="1"/>
  <c r="A788" i="1"/>
  <c r="U996" i="1"/>
  <c r="R996" i="1"/>
  <c r="Q996" i="1"/>
  <c r="P996" i="1"/>
  <c r="O996" i="1"/>
  <c r="N996" i="1"/>
  <c r="M996" i="1"/>
  <c r="I996" i="1"/>
  <c r="H996" i="1"/>
  <c r="F996" i="1"/>
  <c r="D996" i="1"/>
  <c r="B996" i="1"/>
  <c r="A996" i="1"/>
  <c r="U1164" i="1"/>
  <c r="R1164" i="1"/>
  <c r="Q1164" i="1"/>
  <c r="P1164" i="1"/>
  <c r="O1164" i="1"/>
  <c r="N1164" i="1"/>
  <c r="M1164" i="1"/>
  <c r="J1164" i="1"/>
  <c r="I1164" i="1"/>
  <c r="H1164" i="1"/>
  <c r="F1164" i="1"/>
  <c r="D1164" i="1"/>
  <c r="B1164" i="1"/>
  <c r="A1164" i="1"/>
  <c r="U1299" i="1"/>
  <c r="R1299" i="1"/>
  <c r="Q1299" i="1"/>
  <c r="P1299" i="1"/>
  <c r="O1299" i="1"/>
  <c r="N1299" i="1"/>
  <c r="M1299" i="1"/>
  <c r="K1299" i="1"/>
  <c r="J1299" i="1"/>
  <c r="I1299" i="1"/>
  <c r="H1299" i="1"/>
  <c r="F1299" i="1"/>
  <c r="D1299" i="1"/>
  <c r="B1299" i="1"/>
  <c r="A1299" i="1"/>
  <c r="U1512" i="1"/>
  <c r="R1512" i="1"/>
  <c r="Q1512" i="1"/>
  <c r="P1512" i="1"/>
  <c r="O1512" i="1"/>
  <c r="N1512" i="1"/>
  <c r="M1512" i="1"/>
  <c r="J1512" i="1"/>
  <c r="I1512" i="1"/>
  <c r="H1512" i="1"/>
  <c r="F1512" i="1"/>
  <c r="D1512" i="1"/>
  <c r="A1512" i="1"/>
  <c r="U1479" i="1"/>
  <c r="R1479" i="1"/>
  <c r="Q1479" i="1"/>
  <c r="P1479" i="1"/>
  <c r="O1479" i="1"/>
  <c r="N1479" i="1"/>
  <c r="M1479" i="1"/>
  <c r="J1479" i="1"/>
  <c r="I1479" i="1"/>
  <c r="H1479" i="1"/>
  <c r="F1479" i="1"/>
  <c r="E1479" i="1"/>
  <c r="D1479" i="1"/>
  <c r="B1479" i="1"/>
  <c r="A1479" i="1"/>
  <c r="U1869" i="1"/>
  <c r="R1869" i="1"/>
  <c r="Q1869" i="1"/>
  <c r="P1869" i="1"/>
  <c r="O1869" i="1"/>
  <c r="N1869" i="1"/>
  <c r="M1869" i="1"/>
  <c r="J1869" i="1"/>
  <c r="I1869" i="1"/>
  <c r="H1869" i="1"/>
  <c r="F1869" i="1"/>
  <c r="D1869" i="1"/>
  <c r="B1869" i="1"/>
  <c r="A1869" i="1"/>
  <c r="U2704" i="1"/>
  <c r="R2704" i="1"/>
  <c r="Q2704" i="1"/>
  <c r="P2704" i="1"/>
  <c r="O2704" i="1"/>
  <c r="N2704" i="1"/>
  <c r="M2704" i="1"/>
  <c r="K2704" i="1"/>
  <c r="J2704" i="1"/>
  <c r="I2704" i="1"/>
  <c r="H2704" i="1"/>
  <c r="F2704" i="1"/>
  <c r="D2704" i="1"/>
  <c r="B2704" i="1"/>
  <c r="A2704" i="1"/>
  <c r="U2703" i="1"/>
  <c r="R2703" i="1"/>
  <c r="Q2703" i="1"/>
  <c r="P2703" i="1"/>
  <c r="O2703" i="1"/>
  <c r="N2703" i="1"/>
  <c r="M2703" i="1"/>
  <c r="K2703" i="1"/>
  <c r="J2703" i="1"/>
  <c r="I2703" i="1"/>
  <c r="H2703" i="1"/>
  <c r="F2703" i="1"/>
  <c r="D2703" i="1"/>
  <c r="B2703" i="1"/>
  <c r="A2703" i="1"/>
  <c r="U2635" i="1"/>
  <c r="R2635" i="1"/>
  <c r="Q2635" i="1"/>
  <c r="P2635" i="1"/>
  <c r="O2635" i="1"/>
  <c r="N2635" i="1"/>
  <c r="M2635" i="1"/>
  <c r="J2635" i="1"/>
  <c r="I2635" i="1"/>
  <c r="H2635" i="1"/>
  <c r="F2635" i="1"/>
  <c r="D2635" i="1"/>
  <c r="B2635" i="1"/>
  <c r="A2635" i="1"/>
  <c r="U3210" i="1"/>
  <c r="R3210" i="1"/>
  <c r="Q3210" i="1"/>
  <c r="P3210" i="1"/>
  <c r="O3210" i="1"/>
  <c r="N3210" i="1"/>
  <c r="M3210" i="1"/>
  <c r="K3210" i="1"/>
  <c r="J3210" i="1"/>
  <c r="I3210" i="1"/>
  <c r="H3210" i="1"/>
  <c r="F3210" i="1"/>
  <c r="D3210" i="1"/>
  <c r="B3210" i="1"/>
  <c r="A3210" i="1"/>
  <c r="U2909" i="1"/>
  <c r="R2909" i="1"/>
  <c r="Q2909" i="1"/>
  <c r="P2909" i="1"/>
  <c r="O2909" i="1"/>
  <c r="N2909" i="1"/>
  <c r="M2909" i="1"/>
  <c r="K2909" i="1"/>
  <c r="J2909" i="1"/>
  <c r="I2909" i="1"/>
  <c r="H2909" i="1"/>
  <c r="F2909" i="1"/>
  <c r="D2909" i="1"/>
  <c r="B2909" i="1"/>
  <c r="A2909" i="1"/>
  <c r="U3145" i="1"/>
  <c r="R3145" i="1"/>
  <c r="Q3145" i="1"/>
  <c r="P3145" i="1"/>
  <c r="O3145" i="1"/>
  <c r="N3145" i="1"/>
  <c r="M3145" i="1"/>
  <c r="K3145" i="1"/>
  <c r="J3145" i="1"/>
  <c r="I3145" i="1"/>
  <c r="H3145" i="1"/>
  <c r="F3145" i="1"/>
  <c r="D3145" i="1"/>
  <c r="B3145" i="1"/>
  <c r="A3145" i="1"/>
  <c r="U2340" i="1"/>
  <c r="R2340" i="1"/>
  <c r="Q2340" i="1"/>
  <c r="P2340" i="1"/>
  <c r="O2340" i="1"/>
  <c r="N2340" i="1"/>
  <c r="M2340" i="1"/>
  <c r="J2340" i="1"/>
  <c r="I2340" i="1"/>
  <c r="H2340" i="1"/>
  <c r="F2340" i="1"/>
  <c r="D2340" i="1"/>
  <c r="B2340" i="1"/>
  <c r="A2340" i="1"/>
  <c r="U2608" i="1"/>
  <c r="R2608" i="1"/>
  <c r="Q2608" i="1"/>
  <c r="P2608" i="1"/>
  <c r="O2608" i="1"/>
  <c r="N2608" i="1"/>
  <c r="M2608" i="1"/>
  <c r="K2608" i="1"/>
  <c r="J2608" i="1"/>
  <c r="I2608" i="1"/>
  <c r="H2608" i="1"/>
  <c r="F2608" i="1"/>
  <c r="D2608" i="1"/>
  <c r="B2608" i="1"/>
  <c r="A2608" i="1"/>
  <c r="U2550" i="1"/>
  <c r="R2550" i="1"/>
  <c r="Q2550" i="1"/>
  <c r="P2550" i="1"/>
  <c r="O2550" i="1"/>
  <c r="N2550" i="1"/>
  <c r="M2550" i="1"/>
  <c r="J2550" i="1"/>
  <c r="I2550" i="1"/>
  <c r="H2550" i="1"/>
  <c r="F2550" i="1"/>
  <c r="D2550" i="1"/>
  <c r="B2550" i="1"/>
  <c r="A2550" i="1"/>
  <c r="U2963" i="1"/>
  <c r="R2963" i="1"/>
  <c r="Q2963" i="1"/>
  <c r="P2963" i="1"/>
  <c r="O2963" i="1"/>
  <c r="N2963" i="1"/>
  <c r="M2963" i="1"/>
  <c r="J2963" i="1"/>
  <c r="I2963" i="1"/>
  <c r="H2963" i="1"/>
  <c r="F2963" i="1"/>
  <c r="D2963" i="1"/>
  <c r="B2963" i="1"/>
  <c r="A2963" i="1"/>
  <c r="U247" i="1"/>
  <c r="R247" i="1"/>
  <c r="Q247" i="1"/>
  <c r="P247" i="1"/>
  <c r="O247" i="1"/>
  <c r="N247" i="1"/>
  <c r="M247" i="1"/>
  <c r="I247" i="1"/>
  <c r="H247" i="1"/>
  <c r="F247" i="1"/>
  <c r="D247" i="1"/>
  <c r="B247" i="1"/>
  <c r="A247" i="1"/>
  <c r="U587" i="1"/>
  <c r="R587" i="1"/>
  <c r="Q587" i="1"/>
  <c r="P587" i="1"/>
  <c r="O587" i="1"/>
  <c r="N587" i="1"/>
  <c r="M587" i="1"/>
  <c r="J587" i="1"/>
  <c r="I587" i="1"/>
  <c r="H587" i="1"/>
  <c r="F587" i="1"/>
  <c r="D587" i="1"/>
  <c r="B587" i="1"/>
  <c r="A587" i="1"/>
  <c r="U1086" i="1"/>
  <c r="R1086" i="1"/>
  <c r="Q1086" i="1"/>
  <c r="P1086" i="1"/>
  <c r="O1086" i="1"/>
  <c r="N1086" i="1"/>
  <c r="M1086" i="1"/>
  <c r="J1086" i="1"/>
  <c r="I1086" i="1"/>
  <c r="H1086" i="1"/>
  <c r="F1086" i="1"/>
  <c r="D1086" i="1"/>
  <c r="B1086" i="1"/>
  <c r="A1086" i="1"/>
  <c r="U1422" i="1"/>
  <c r="R1422" i="1"/>
  <c r="Q1422" i="1"/>
  <c r="P1422" i="1"/>
  <c r="O1422" i="1"/>
  <c r="N1422" i="1"/>
  <c r="M1422" i="1"/>
  <c r="J1422" i="1"/>
  <c r="I1422" i="1"/>
  <c r="H1422" i="1"/>
  <c r="F1422" i="1"/>
  <c r="E1422" i="1"/>
  <c r="D1422" i="1"/>
  <c r="B1422" i="1"/>
  <c r="A1422" i="1"/>
  <c r="U1421" i="1"/>
  <c r="R1421" i="1"/>
  <c r="Q1421" i="1"/>
  <c r="P1421" i="1"/>
  <c r="O1421" i="1"/>
  <c r="N1421" i="1"/>
  <c r="M1421" i="1"/>
  <c r="K1421" i="1"/>
  <c r="J1421" i="1"/>
  <c r="I1421" i="1"/>
  <c r="H1421" i="1"/>
  <c r="F1421" i="1"/>
  <c r="D1421" i="1"/>
  <c r="B1421" i="1"/>
  <c r="A1421" i="1"/>
  <c r="U1573" i="1"/>
  <c r="R1573" i="1"/>
  <c r="Q1573" i="1"/>
  <c r="P1573" i="1"/>
  <c r="O1573" i="1"/>
  <c r="N1573" i="1"/>
  <c r="M1573" i="1"/>
  <c r="J1573" i="1"/>
  <c r="I1573" i="1"/>
  <c r="H1573" i="1"/>
  <c r="F1573" i="1"/>
  <c r="D1573" i="1"/>
  <c r="B1573" i="1"/>
  <c r="A1573" i="1"/>
  <c r="U1690" i="1"/>
  <c r="R1690" i="1"/>
  <c r="Q1690" i="1"/>
  <c r="P1690" i="1"/>
  <c r="O1690" i="1"/>
  <c r="N1690" i="1"/>
  <c r="M1690" i="1"/>
  <c r="J1690" i="1"/>
  <c r="I1690" i="1"/>
  <c r="H1690" i="1"/>
  <c r="F1690" i="1"/>
  <c r="D1690" i="1"/>
  <c r="B1690" i="1"/>
  <c r="A1690" i="1"/>
  <c r="U2437" i="1"/>
  <c r="R2437" i="1"/>
  <c r="Q2437" i="1"/>
  <c r="P2437" i="1"/>
  <c r="O2437" i="1"/>
  <c r="N2437" i="1"/>
  <c r="M2437" i="1"/>
  <c r="K2437" i="1"/>
  <c r="J2437" i="1"/>
  <c r="I2437" i="1"/>
  <c r="H2437" i="1"/>
  <c r="F2437" i="1"/>
  <c r="D2437" i="1"/>
  <c r="B2437" i="1"/>
  <c r="A2437" i="1"/>
  <c r="U2640" i="1"/>
  <c r="R2640" i="1"/>
  <c r="Q2640" i="1"/>
  <c r="P2640" i="1"/>
  <c r="O2640" i="1"/>
  <c r="N2640" i="1"/>
  <c r="M2640" i="1"/>
  <c r="K2640" i="1"/>
  <c r="J2640" i="1"/>
  <c r="I2640" i="1"/>
  <c r="H2640" i="1"/>
  <c r="F2640" i="1"/>
  <c r="D2640" i="1"/>
  <c r="B2640" i="1"/>
  <c r="A2640" i="1"/>
  <c r="U2174" i="1"/>
  <c r="R2174" i="1"/>
  <c r="Q2174" i="1"/>
  <c r="P2174" i="1"/>
  <c r="O2174" i="1"/>
  <c r="N2174" i="1"/>
  <c r="M2174" i="1"/>
  <c r="K2174" i="1"/>
  <c r="J2174" i="1"/>
  <c r="I2174" i="1"/>
  <c r="H2174" i="1"/>
  <c r="F2174" i="1"/>
  <c r="D2174" i="1"/>
  <c r="B2174" i="1"/>
  <c r="A2174" i="1"/>
  <c r="U2" i="1"/>
  <c r="R2" i="1"/>
  <c r="Q2" i="1"/>
  <c r="P2" i="1"/>
  <c r="O2" i="1"/>
  <c r="N2" i="1"/>
  <c r="M2" i="1"/>
  <c r="J2" i="1"/>
  <c r="I2" i="1"/>
  <c r="H2" i="1"/>
  <c r="F2" i="1"/>
  <c r="E2" i="1"/>
  <c r="D2" i="1"/>
  <c r="B2" i="1"/>
  <c r="A2" i="1"/>
  <c r="U338" i="1"/>
  <c r="R338" i="1"/>
  <c r="Q338" i="1"/>
  <c r="P338" i="1"/>
  <c r="O338" i="1"/>
  <c r="N338" i="1"/>
  <c r="M338" i="1"/>
  <c r="I338" i="1"/>
  <c r="H338" i="1"/>
  <c r="F338" i="1"/>
  <c r="D338" i="1"/>
  <c r="B338" i="1"/>
  <c r="A338" i="1"/>
  <c r="U454" i="1"/>
  <c r="R454" i="1"/>
  <c r="Q454" i="1"/>
  <c r="P454" i="1"/>
  <c r="O454" i="1"/>
  <c r="N454" i="1"/>
  <c r="M454" i="1"/>
  <c r="J454" i="1"/>
  <c r="I454" i="1"/>
  <c r="H454" i="1"/>
  <c r="F454" i="1"/>
  <c r="D454" i="1"/>
  <c r="B454" i="1"/>
  <c r="A454" i="1"/>
  <c r="U636" i="1"/>
  <c r="R636" i="1"/>
  <c r="Q636" i="1"/>
  <c r="P636" i="1"/>
  <c r="O636" i="1"/>
  <c r="N636" i="1"/>
  <c r="M636" i="1"/>
  <c r="J636" i="1"/>
  <c r="I636" i="1"/>
  <c r="H636" i="1"/>
  <c r="F636" i="1"/>
  <c r="D636" i="1"/>
  <c r="A636" i="1"/>
  <c r="U635" i="1"/>
  <c r="R635" i="1"/>
  <c r="Q635" i="1"/>
  <c r="P635" i="1"/>
  <c r="O635" i="1"/>
  <c r="N635" i="1"/>
  <c r="M635" i="1"/>
  <c r="J635" i="1"/>
  <c r="I635" i="1"/>
  <c r="H635" i="1"/>
  <c r="F635" i="1"/>
  <c r="D635" i="1"/>
  <c r="B635" i="1"/>
  <c r="A635" i="1"/>
  <c r="U337" i="1"/>
  <c r="R337" i="1"/>
  <c r="Q337" i="1"/>
  <c r="P337" i="1"/>
  <c r="O337" i="1"/>
  <c r="N337" i="1"/>
  <c r="M337" i="1"/>
  <c r="J337" i="1"/>
  <c r="I337" i="1"/>
  <c r="H337" i="1"/>
  <c r="F337" i="1"/>
  <c r="E337" i="1"/>
  <c r="D337" i="1"/>
  <c r="B337" i="1"/>
  <c r="A337" i="1"/>
  <c r="U74" i="1"/>
  <c r="R74" i="1"/>
  <c r="Q74" i="1"/>
  <c r="P74" i="1"/>
  <c r="O74" i="1"/>
  <c r="N74" i="1"/>
  <c r="M74" i="1"/>
  <c r="J74" i="1"/>
  <c r="I74" i="1"/>
  <c r="H74" i="1"/>
  <c r="F74" i="1"/>
  <c r="E74" i="1"/>
  <c r="D74" i="1"/>
  <c r="B74" i="1"/>
  <c r="A74" i="1"/>
  <c r="U476" i="1"/>
  <c r="R476" i="1"/>
  <c r="Q476" i="1"/>
  <c r="P476" i="1"/>
  <c r="O476" i="1"/>
  <c r="N476" i="1"/>
  <c r="M476" i="1"/>
  <c r="I476" i="1"/>
  <c r="H476" i="1"/>
  <c r="F476" i="1"/>
  <c r="D476" i="1"/>
  <c r="B476" i="1"/>
  <c r="A476" i="1"/>
  <c r="U735" i="1"/>
  <c r="R735" i="1"/>
  <c r="Q735" i="1"/>
  <c r="P735" i="1"/>
  <c r="O735" i="1"/>
  <c r="N735" i="1"/>
  <c r="M735" i="1"/>
  <c r="J735" i="1"/>
  <c r="I735" i="1"/>
  <c r="H735" i="1"/>
  <c r="G735" i="1"/>
  <c r="F735" i="1"/>
  <c r="D735" i="1"/>
  <c r="A735" i="1"/>
  <c r="U749" i="1"/>
  <c r="R749" i="1"/>
  <c r="Q749" i="1"/>
  <c r="P749" i="1"/>
  <c r="O749" i="1"/>
  <c r="N749" i="1"/>
  <c r="M749" i="1"/>
  <c r="J749" i="1"/>
  <c r="I749" i="1"/>
  <c r="H749" i="1"/>
  <c r="F749" i="1"/>
  <c r="D749" i="1"/>
  <c r="B749" i="1"/>
  <c r="A749" i="1"/>
  <c r="U918" i="1"/>
  <c r="R918" i="1"/>
  <c r="Q918" i="1"/>
  <c r="P918" i="1"/>
  <c r="O918" i="1"/>
  <c r="N918" i="1"/>
  <c r="M918" i="1"/>
  <c r="J918" i="1"/>
  <c r="I918" i="1"/>
  <c r="H918" i="1"/>
  <c r="F918" i="1"/>
  <c r="D918" i="1"/>
  <c r="A918" i="1"/>
  <c r="U963" i="1"/>
  <c r="R963" i="1"/>
  <c r="Q963" i="1"/>
  <c r="P963" i="1"/>
  <c r="O963" i="1"/>
  <c r="N963" i="1"/>
  <c r="M963" i="1"/>
  <c r="I963" i="1"/>
  <c r="H963" i="1"/>
  <c r="F963" i="1"/>
  <c r="D963" i="1"/>
  <c r="A963" i="1"/>
  <c r="U1023" i="1"/>
  <c r="R1023" i="1"/>
  <c r="Q1023" i="1"/>
  <c r="P1023" i="1"/>
  <c r="O1023" i="1"/>
  <c r="N1023" i="1"/>
  <c r="M1023" i="1"/>
  <c r="I1023" i="1"/>
  <c r="H1023" i="1"/>
  <c r="F1023" i="1"/>
  <c r="D1023" i="1"/>
  <c r="B1023" i="1"/>
  <c r="A1023" i="1"/>
  <c r="U1249" i="1"/>
  <c r="R1249" i="1"/>
  <c r="Q1249" i="1"/>
  <c r="P1249" i="1"/>
  <c r="O1249" i="1"/>
  <c r="N1249" i="1"/>
  <c r="M1249" i="1"/>
  <c r="J1249" i="1"/>
  <c r="I1249" i="1"/>
  <c r="H1249" i="1"/>
  <c r="F1249" i="1"/>
  <c r="D1249" i="1"/>
  <c r="A1249" i="1"/>
  <c r="U1205" i="1"/>
  <c r="R1205" i="1"/>
  <c r="Q1205" i="1"/>
  <c r="P1205" i="1"/>
  <c r="O1205" i="1"/>
  <c r="N1205" i="1"/>
  <c r="M1205" i="1"/>
  <c r="J1205" i="1"/>
  <c r="I1205" i="1"/>
  <c r="H1205" i="1"/>
  <c r="F1205" i="1"/>
  <c r="D1205" i="1"/>
  <c r="A1205" i="1"/>
  <c r="U1353" i="1"/>
  <c r="R1353" i="1"/>
  <c r="Q1353" i="1"/>
  <c r="P1353" i="1"/>
  <c r="O1353" i="1"/>
  <c r="N1353" i="1"/>
  <c r="M1353" i="1"/>
  <c r="I1353" i="1"/>
  <c r="H1353" i="1"/>
  <c r="F1353" i="1"/>
  <c r="D1353" i="1"/>
  <c r="A1353" i="1"/>
  <c r="U1404" i="1"/>
  <c r="R1404" i="1"/>
  <c r="Q1404" i="1"/>
  <c r="P1404" i="1"/>
  <c r="O1404" i="1"/>
  <c r="N1404" i="1"/>
  <c r="M1404" i="1"/>
  <c r="I1404" i="1"/>
  <c r="H1404" i="1"/>
  <c r="F1404" i="1"/>
  <c r="D1404" i="1"/>
  <c r="A1404" i="1"/>
  <c r="U1800" i="1"/>
  <c r="R1800" i="1"/>
  <c r="Q1800" i="1"/>
  <c r="P1800" i="1"/>
  <c r="O1800" i="1"/>
  <c r="N1800" i="1"/>
  <c r="M1800" i="1"/>
  <c r="J1800" i="1"/>
  <c r="I1800" i="1"/>
  <c r="H1800" i="1"/>
  <c r="G1800" i="1"/>
  <c r="F1800" i="1"/>
  <c r="E1800" i="1"/>
  <c r="D1800" i="1"/>
  <c r="B1800" i="1"/>
  <c r="A1800" i="1"/>
  <c r="U2018" i="1"/>
  <c r="R2018" i="1"/>
  <c r="Q2018" i="1"/>
  <c r="P2018" i="1"/>
  <c r="O2018" i="1"/>
  <c r="N2018" i="1"/>
  <c r="M2018" i="1"/>
  <c r="J2018" i="1"/>
  <c r="I2018" i="1"/>
  <c r="H2018" i="1"/>
  <c r="F2018" i="1"/>
  <c r="D2018" i="1"/>
  <c r="A2018" i="1"/>
  <c r="U2033" i="1"/>
  <c r="R2033" i="1"/>
  <c r="Q2033" i="1"/>
  <c r="P2033" i="1"/>
  <c r="O2033" i="1"/>
  <c r="N2033" i="1"/>
  <c r="M2033" i="1"/>
  <c r="K2033" i="1"/>
  <c r="J2033" i="1"/>
  <c r="I2033" i="1"/>
  <c r="H2033" i="1"/>
  <c r="F2033" i="1"/>
  <c r="E2033" i="1"/>
  <c r="D2033" i="1"/>
  <c r="B2033" i="1"/>
  <c r="A2033" i="1"/>
  <c r="U2105" i="1"/>
  <c r="R2105" i="1"/>
  <c r="Q2105" i="1"/>
  <c r="P2105" i="1"/>
  <c r="O2105" i="1"/>
  <c r="N2105" i="1"/>
  <c r="M2105" i="1"/>
  <c r="K2105" i="1"/>
  <c r="J2105" i="1"/>
  <c r="I2105" i="1"/>
  <c r="H2105" i="1"/>
  <c r="F2105" i="1"/>
  <c r="E2105" i="1"/>
  <c r="D2105" i="1"/>
  <c r="B2105" i="1"/>
  <c r="A2105" i="1"/>
  <c r="U2401" i="1"/>
  <c r="R2401" i="1"/>
  <c r="Q2401" i="1"/>
  <c r="P2401" i="1"/>
  <c r="O2401" i="1"/>
  <c r="N2401" i="1"/>
  <c r="M2401" i="1"/>
  <c r="K2401" i="1"/>
  <c r="J2401" i="1"/>
  <c r="I2401" i="1"/>
  <c r="H2401" i="1"/>
  <c r="G2401" i="1"/>
  <c r="F2401" i="1"/>
  <c r="D2401" i="1"/>
  <c r="B2401" i="1"/>
  <c r="A2401" i="1"/>
  <c r="U2629" i="1"/>
  <c r="R2629" i="1"/>
  <c r="Q2629" i="1"/>
  <c r="P2629" i="1"/>
  <c r="O2629" i="1"/>
  <c r="N2629" i="1"/>
  <c r="M2629" i="1"/>
  <c r="J2629" i="1"/>
  <c r="I2629" i="1"/>
  <c r="H2629" i="1"/>
  <c r="F2629" i="1"/>
  <c r="D2629" i="1"/>
  <c r="B2629" i="1"/>
  <c r="A2629" i="1"/>
  <c r="U2717" i="1"/>
  <c r="R2717" i="1"/>
  <c r="Q2717" i="1"/>
  <c r="P2717" i="1"/>
  <c r="O2717" i="1"/>
  <c r="N2717" i="1"/>
  <c r="M2717" i="1"/>
  <c r="K2717" i="1"/>
  <c r="J2717" i="1"/>
  <c r="I2717" i="1"/>
  <c r="H2717" i="1"/>
  <c r="F2717" i="1"/>
  <c r="D2717" i="1"/>
  <c r="B2717" i="1"/>
  <c r="A2717" i="1"/>
  <c r="U2886" i="1"/>
  <c r="R2886" i="1"/>
  <c r="Q2886" i="1"/>
  <c r="P2886" i="1"/>
  <c r="O2886" i="1"/>
  <c r="N2886" i="1"/>
  <c r="M2886" i="1"/>
  <c r="K2886" i="1"/>
  <c r="J2886" i="1"/>
  <c r="I2886" i="1"/>
  <c r="H2886" i="1"/>
  <c r="G2886" i="1"/>
  <c r="F2886" i="1"/>
  <c r="D2886" i="1"/>
  <c r="B2886" i="1"/>
  <c r="A2886" i="1"/>
  <c r="U2857" i="1"/>
  <c r="R2857" i="1"/>
  <c r="Q2857" i="1"/>
  <c r="P2857" i="1"/>
  <c r="O2857" i="1"/>
  <c r="N2857" i="1"/>
  <c r="M2857" i="1"/>
  <c r="K2857" i="1"/>
  <c r="J2857" i="1"/>
  <c r="I2857" i="1"/>
  <c r="H2857" i="1"/>
  <c r="G2857" i="1"/>
  <c r="F2857" i="1"/>
  <c r="D2857" i="1"/>
  <c r="B2857" i="1"/>
  <c r="A2857" i="1"/>
  <c r="U2813" i="1"/>
  <c r="R2813" i="1"/>
  <c r="Q2813" i="1"/>
  <c r="P2813" i="1"/>
  <c r="O2813" i="1"/>
  <c r="N2813" i="1"/>
  <c r="M2813" i="1"/>
  <c r="K2813" i="1"/>
  <c r="J2813" i="1"/>
  <c r="I2813" i="1"/>
  <c r="H2813" i="1"/>
  <c r="F2813" i="1"/>
  <c r="D2813" i="1"/>
  <c r="B2813" i="1"/>
  <c r="A2813" i="1"/>
  <c r="U2789" i="1"/>
  <c r="R2789" i="1"/>
  <c r="Q2789" i="1"/>
  <c r="P2789" i="1"/>
  <c r="O2789" i="1"/>
  <c r="N2789" i="1"/>
  <c r="M2789" i="1"/>
  <c r="J2789" i="1"/>
  <c r="I2789" i="1"/>
  <c r="H2789" i="1"/>
  <c r="F2789" i="1"/>
  <c r="D2789" i="1"/>
  <c r="B2789" i="1"/>
  <c r="A2789" i="1"/>
  <c r="U2800" i="1"/>
  <c r="R2800" i="1"/>
  <c r="Q2800" i="1"/>
  <c r="P2800" i="1"/>
  <c r="O2800" i="1"/>
  <c r="N2800" i="1"/>
  <c r="M2800" i="1"/>
  <c r="J2800" i="1"/>
  <c r="I2800" i="1"/>
  <c r="H2800" i="1"/>
  <c r="F2800" i="1"/>
  <c r="E2800" i="1"/>
  <c r="D2800" i="1"/>
  <c r="B2800" i="1"/>
  <c r="A2800" i="1"/>
  <c r="U2615" i="1"/>
  <c r="R2615" i="1"/>
  <c r="Q2615" i="1"/>
  <c r="P2615" i="1"/>
  <c r="O2615" i="1"/>
  <c r="N2615" i="1"/>
  <c r="M2615" i="1"/>
  <c r="K2615" i="1"/>
  <c r="J2615" i="1"/>
  <c r="I2615" i="1"/>
  <c r="H2615" i="1"/>
  <c r="F2615" i="1"/>
  <c r="D2615" i="1"/>
  <c r="B2615" i="1"/>
  <c r="A2615" i="1"/>
  <c r="U2664" i="1"/>
  <c r="R2664" i="1"/>
  <c r="Q2664" i="1"/>
  <c r="P2664" i="1"/>
  <c r="O2664" i="1"/>
  <c r="N2664" i="1"/>
  <c r="M2664" i="1"/>
  <c r="K2664" i="1"/>
  <c r="J2664" i="1"/>
  <c r="I2664" i="1"/>
  <c r="H2664" i="1"/>
  <c r="G2664" i="1"/>
  <c r="F2664" i="1"/>
  <c r="D2664" i="1"/>
  <c r="B2664" i="1"/>
  <c r="A2664" i="1"/>
  <c r="U2812" i="1"/>
  <c r="R2812" i="1"/>
  <c r="Q2812" i="1"/>
  <c r="P2812" i="1"/>
  <c r="O2812" i="1"/>
  <c r="N2812" i="1"/>
  <c r="M2812" i="1"/>
  <c r="K2812" i="1"/>
  <c r="J2812" i="1"/>
  <c r="I2812" i="1"/>
  <c r="H2812" i="1"/>
  <c r="F2812" i="1"/>
  <c r="D2812" i="1"/>
  <c r="B2812" i="1"/>
  <c r="A2812" i="1"/>
  <c r="U2776" i="1"/>
  <c r="R2776" i="1"/>
  <c r="Q2776" i="1"/>
  <c r="P2776" i="1"/>
  <c r="O2776" i="1"/>
  <c r="N2776" i="1"/>
  <c r="M2776" i="1"/>
  <c r="J2776" i="1"/>
  <c r="I2776" i="1"/>
  <c r="H2776" i="1"/>
  <c r="F2776" i="1"/>
  <c r="D2776" i="1"/>
  <c r="B2776" i="1"/>
  <c r="A2776" i="1"/>
  <c r="U3029" i="1"/>
  <c r="R3029" i="1"/>
  <c r="Q3029" i="1"/>
  <c r="P3029" i="1"/>
  <c r="O3029" i="1"/>
  <c r="N3029" i="1"/>
  <c r="M3029" i="1"/>
  <c r="K3029" i="1"/>
  <c r="J3029" i="1"/>
  <c r="I3029" i="1"/>
  <c r="H3029" i="1"/>
  <c r="F3029" i="1"/>
  <c r="E3029" i="1"/>
  <c r="D3029" i="1"/>
  <c r="B3029" i="1"/>
  <c r="A3029" i="1"/>
  <c r="U3169" i="1"/>
  <c r="R3169" i="1"/>
  <c r="Q3169" i="1"/>
  <c r="P3169" i="1"/>
  <c r="O3169" i="1"/>
  <c r="N3169" i="1"/>
  <c r="M3169" i="1"/>
  <c r="K3169" i="1"/>
  <c r="J3169" i="1"/>
  <c r="I3169" i="1"/>
  <c r="H3169" i="1"/>
  <c r="F3169" i="1"/>
  <c r="D3169" i="1"/>
  <c r="B3169" i="1"/>
  <c r="A3169" i="1"/>
  <c r="U3028" i="1"/>
  <c r="R3028" i="1"/>
  <c r="Q3028" i="1"/>
  <c r="P3028" i="1"/>
  <c r="O3028" i="1"/>
  <c r="N3028" i="1"/>
  <c r="M3028" i="1"/>
  <c r="J3028" i="1"/>
  <c r="I3028" i="1"/>
  <c r="H3028" i="1"/>
  <c r="F3028" i="1"/>
  <c r="D3028" i="1"/>
  <c r="B3028" i="1"/>
  <c r="A3028" i="1"/>
  <c r="U3150" i="1"/>
  <c r="R3150" i="1"/>
  <c r="Q3150" i="1"/>
  <c r="P3150" i="1"/>
  <c r="O3150" i="1"/>
  <c r="N3150" i="1"/>
  <c r="M3150" i="1"/>
  <c r="K3150" i="1"/>
  <c r="J3150" i="1"/>
  <c r="I3150" i="1"/>
  <c r="H3150" i="1"/>
  <c r="F3150" i="1"/>
  <c r="D3150" i="1"/>
  <c r="B3150" i="1"/>
  <c r="A3150" i="1"/>
  <c r="U2151" i="1"/>
  <c r="R2151" i="1"/>
  <c r="Q2151" i="1"/>
  <c r="P2151" i="1"/>
  <c r="O2151" i="1"/>
  <c r="N2151" i="1"/>
  <c r="M2151" i="1"/>
  <c r="K2151" i="1"/>
  <c r="J2151" i="1"/>
  <c r="I2151" i="1"/>
  <c r="H2151" i="1"/>
  <c r="F2151" i="1"/>
  <c r="D2151" i="1"/>
  <c r="A2151" i="1"/>
  <c r="U2272" i="1"/>
  <c r="R2272" i="1"/>
  <c r="Q2272" i="1"/>
  <c r="P2272" i="1"/>
  <c r="O2272" i="1"/>
  <c r="N2272" i="1"/>
  <c r="M2272" i="1"/>
  <c r="J2272" i="1"/>
  <c r="I2272" i="1"/>
  <c r="H2272" i="1"/>
  <c r="F2272" i="1"/>
  <c r="E2272" i="1"/>
  <c r="D2272" i="1"/>
  <c r="B2272" i="1"/>
  <c r="A2272" i="1"/>
  <c r="U2003" i="1"/>
  <c r="R2003" i="1"/>
  <c r="Q2003" i="1"/>
  <c r="P2003" i="1"/>
  <c r="O2003" i="1"/>
  <c r="N2003" i="1"/>
  <c r="M2003" i="1"/>
  <c r="J2003" i="1"/>
  <c r="I2003" i="1"/>
  <c r="H2003" i="1"/>
  <c r="F2003" i="1"/>
  <c r="D2003" i="1"/>
  <c r="B2003" i="1"/>
  <c r="A2003" i="1"/>
  <c r="U3174" i="1"/>
  <c r="R3174" i="1"/>
  <c r="Q3174" i="1"/>
  <c r="P3174" i="1"/>
  <c r="O3174" i="1"/>
  <c r="N3174" i="1"/>
  <c r="M3174" i="1"/>
  <c r="K3174" i="1"/>
  <c r="J3174" i="1"/>
  <c r="I3174" i="1"/>
  <c r="H3174" i="1"/>
  <c r="F3174" i="1"/>
  <c r="E3174" i="1"/>
  <c r="D3174" i="1"/>
  <c r="B3174" i="1"/>
  <c r="A3174" i="1"/>
  <c r="U3177" i="1"/>
  <c r="R3177" i="1"/>
  <c r="Q3177" i="1"/>
  <c r="P3177" i="1"/>
  <c r="O3177" i="1"/>
  <c r="N3177" i="1"/>
  <c r="M3177" i="1"/>
  <c r="J3177" i="1"/>
  <c r="I3177" i="1"/>
  <c r="H3177" i="1"/>
  <c r="F3177" i="1"/>
  <c r="D3177" i="1"/>
  <c r="B3177" i="1"/>
  <c r="A3177" i="1"/>
  <c r="U2326" i="1"/>
  <c r="R2326" i="1"/>
  <c r="Q2326" i="1"/>
  <c r="P2326" i="1"/>
  <c r="O2326" i="1"/>
  <c r="N2326" i="1"/>
  <c r="M2326" i="1"/>
  <c r="J2326" i="1"/>
  <c r="I2326" i="1"/>
  <c r="H2326" i="1"/>
  <c r="G2326" i="1"/>
  <c r="F2326" i="1"/>
  <c r="E2326" i="1"/>
  <c r="D2326" i="1"/>
  <c r="B2326" i="1"/>
  <c r="A2326" i="1"/>
  <c r="U3" i="1"/>
  <c r="R3" i="1"/>
  <c r="Q3" i="1"/>
  <c r="P3" i="1"/>
  <c r="O3" i="1"/>
  <c r="N3" i="1"/>
  <c r="M3" i="1"/>
  <c r="J3" i="1"/>
  <c r="I3" i="1"/>
  <c r="H3" i="1"/>
  <c r="F3" i="1"/>
  <c r="E3" i="1"/>
  <c r="D3" i="1"/>
  <c r="B3" i="1"/>
  <c r="A3" i="1"/>
  <c r="U105" i="1"/>
  <c r="R105" i="1"/>
  <c r="Q105" i="1"/>
  <c r="P105" i="1"/>
  <c r="O105" i="1"/>
  <c r="N105" i="1"/>
  <c r="M105" i="1"/>
  <c r="J105" i="1"/>
  <c r="I105" i="1"/>
  <c r="H105" i="1"/>
  <c r="F105" i="1"/>
  <c r="D105" i="1"/>
  <c r="B105" i="1"/>
  <c r="A105" i="1"/>
  <c r="U157" i="1"/>
  <c r="R157" i="1"/>
  <c r="Q157" i="1"/>
  <c r="P157" i="1"/>
  <c r="O157" i="1"/>
  <c r="N157" i="1"/>
  <c r="M157" i="1"/>
  <c r="J157" i="1"/>
  <c r="I157" i="1"/>
  <c r="H157" i="1"/>
  <c r="F157" i="1"/>
  <c r="D157" i="1"/>
  <c r="B157" i="1"/>
  <c r="A157" i="1"/>
  <c r="U195" i="1"/>
  <c r="R195" i="1"/>
  <c r="Q195" i="1"/>
  <c r="P195" i="1"/>
  <c r="O195" i="1"/>
  <c r="N195" i="1"/>
  <c r="M195" i="1"/>
  <c r="K195" i="1"/>
  <c r="J195" i="1"/>
  <c r="I195" i="1"/>
  <c r="H195" i="1"/>
  <c r="F195" i="1"/>
  <c r="D195" i="1"/>
  <c r="B195" i="1"/>
  <c r="A195" i="1"/>
  <c r="U373" i="1"/>
  <c r="R373" i="1"/>
  <c r="Q373" i="1"/>
  <c r="P373" i="1"/>
  <c r="O373" i="1"/>
  <c r="N373" i="1"/>
  <c r="M373" i="1"/>
  <c r="J373" i="1"/>
  <c r="I373" i="1"/>
  <c r="H373" i="1"/>
  <c r="F373" i="1"/>
  <c r="D373" i="1"/>
  <c r="B373" i="1"/>
  <c r="A373" i="1"/>
  <c r="U413" i="1"/>
  <c r="R413" i="1"/>
  <c r="Q413" i="1"/>
  <c r="P413" i="1"/>
  <c r="O413" i="1"/>
  <c r="N413" i="1"/>
  <c r="M413" i="1"/>
  <c r="I413" i="1"/>
  <c r="H413" i="1"/>
  <c r="F413" i="1"/>
  <c r="D413" i="1"/>
  <c r="B413" i="1"/>
  <c r="A413" i="1"/>
  <c r="U249" i="1"/>
  <c r="R249" i="1"/>
  <c r="Q249" i="1"/>
  <c r="P249" i="1"/>
  <c r="O249" i="1"/>
  <c r="N249" i="1"/>
  <c r="M249" i="1"/>
  <c r="J249" i="1"/>
  <c r="I249" i="1"/>
  <c r="H249" i="1"/>
  <c r="F249" i="1"/>
  <c r="D249" i="1"/>
  <c r="B249" i="1"/>
  <c r="A249" i="1"/>
  <c r="U122" i="1"/>
  <c r="R122" i="1"/>
  <c r="Q122" i="1"/>
  <c r="P122" i="1"/>
  <c r="O122" i="1"/>
  <c r="N122" i="1"/>
  <c r="M122" i="1"/>
  <c r="I122" i="1"/>
  <c r="H122" i="1"/>
  <c r="F122" i="1"/>
  <c r="D122" i="1"/>
  <c r="B122" i="1"/>
  <c r="A122" i="1"/>
  <c r="U556" i="1"/>
  <c r="R556" i="1"/>
  <c r="Q556" i="1"/>
  <c r="P556" i="1"/>
  <c r="O556" i="1"/>
  <c r="N556" i="1"/>
  <c r="M556" i="1"/>
  <c r="J556" i="1"/>
  <c r="I556" i="1"/>
  <c r="H556" i="1"/>
  <c r="F556" i="1"/>
  <c r="D556" i="1"/>
  <c r="B556" i="1"/>
  <c r="A556" i="1"/>
  <c r="U615" i="1"/>
  <c r="R615" i="1"/>
  <c r="Q615" i="1"/>
  <c r="P615" i="1"/>
  <c r="O615" i="1"/>
  <c r="N615" i="1"/>
  <c r="M615" i="1"/>
  <c r="I615" i="1"/>
  <c r="H615" i="1"/>
  <c r="F615" i="1"/>
  <c r="D615" i="1"/>
  <c r="B615" i="1"/>
  <c r="A615" i="1"/>
  <c r="U698" i="1"/>
  <c r="R698" i="1"/>
  <c r="Q698" i="1"/>
  <c r="P698" i="1"/>
  <c r="O698" i="1"/>
  <c r="N698" i="1"/>
  <c r="M698" i="1"/>
  <c r="J698" i="1"/>
  <c r="I698" i="1"/>
  <c r="H698" i="1"/>
  <c r="F698" i="1"/>
  <c r="D698" i="1"/>
  <c r="B698" i="1"/>
  <c r="A698" i="1"/>
  <c r="U914" i="1"/>
  <c r="R914" i="1"/>
  <c r="Q914" i="1"/>
  <c r="P914" i="1"/>
  <c r="O914" i="1"/>
  <c r="N914" i="1"/>
  <c r="M914" i="1"/>
  <c r="I914" i="1"/>
  <c r="H914" i="1"/>
  <c r="F914" i="1"/>
  <c r="D914" i="1"/>
  <c r="B914" i="1"/>
  <c r="A914" i="1"/>
  <c r="U1020" i="1"/>
  <c r="R1020" i="1"/>
  <c r="Q1020" i="1"/>
  <c r="P1020" i="1"/>
  <c r="O1020" i="1"/>
  <c r="N1020" i="1"/>
  <c r="M1020" i="1"/>
  <c r="I1020" i="1"/>
  <c r="H1020" i="1"/>
  <c r="F1020" i="1"/>
  <c r="D1020" i="1"/>
  <c r="B1020" i="1"/>
  <c r="A1020" i="1"/>
  <c r="U1039" i="1"/>
  <c r="R1039" i="1"/>
  <c r="Q1039" i="1"/>
  <c r="P1039" i="1"/>
  <c r="O1039" i="1"/>
  <c r="N1039" i="1"/>
  <c r="M1039" i="1"/>
  <c r="I1039" i="1"/>
  <c r="H1039" i="1"/>
  <c r="F1039" i="1"/>
  <c r="D1039" i="1"/>
  <c r="B1039" i="1"/>
  <c r="A1039" i="1"/>
  <c r="U1200" i="1"/>
  <c r="R1200" i="1"/>
  <c r="Q1200" i="1"/>
  <c r="P1200" i="1"/>
  <c r="O1200" i="1"/>
  <c r="N1200" i="1"/>
  <c r="M1200" i="1"/>
  <c r="I1200" i="1"/>
  <c r="H1200" i="1"/>
  <c r="F1200" i="1"/>
  <c r="D1200" i="1"/>
  <c r="B1200" i="1"/>
  <c r="A1200" i="1"/>
  <c r="U1118" i="1"/>
  <c r="R1118" i="1"/>
  <c r="Q1118" i="1"/>
  <c r="P1118" i="1"/>
  <c r="O1118" i="1"/>
  <c r="N1118" i="1"/>
  <c r="M1118" i="1"/>
  <c r="I1118" i="1"/>
  <c r="H1118" i="1"/>
  <c r="F1118" i="1"/>
  <c r="D1118" i="1"/>
  <c r="B1118" i="1"/>
  <c r="A1118" i="1"/>
  <c r="U1295" i="1"/>
  <c r="R1295" i="1"/>
  <c r="Q1295" i="1"/>
  <c r="P1295" i="1"/>
  <c r="O1295" i="1"/>
  <c r="N1295" i="1"/>
  <c r="M1295" i="1"/>
  <c r="J1295" i="1"/>
  <c r="I1295" i="1"/>
  <c r="H1295" i="1"/>
  <c r="F1295" i="1"/>
  <c r="D1295" i="1"/>
  <c r="B1295" i="1"/>
  <c r="A1295" i="1"/>
  <c r="U1424" i="1"/>
  <c r="R1424" i="1"/>
  <c r="Q1424" i="1"/>
  <c r="P1424" i="1"/>
  <c r="O1424" i="1"/>
  <c r="N1424" i="1"/>
  <c r="M1424" i="1"/>
  <c r="K1424" i="1"/>
  <c r="J1424" i="1"/>
  <c r="I1424" i="1"/>
  <c r="H1424" i="1"/>
  <c r="F1424" i="1"/>
  <c r="D1424" i="1"/>
  <c r="B1424" i="1"/>
  <c r="A1424" i="1"/>
  <c r="U1578" i="1"/>
  <c r="R1578" i="1"/>
  <c r="Q1578" i="1"/>
  <c r="P1578" i="1"/>
  <c r="O1578" i="1"/>
  <c r="N1578" i="1"/>
  <c r="M1578" i="1"/>
  <c r="J1578" i="1"/>
  <c r="I1578" i="1"/>
  <c r="H1578" i="1"/>
  <c r="F1578" i="1"/>
  <c r="D1578" i="1"/>
  <c r="B1578" i="1"/>
  <c r="A1578" i="1"/>
  <c r="U1683" i="1"/>
  <c r="R1683" i="1"/>
  <c r="Q1683" i="1"/>
  <c r="P1683" i="1"/>
  <c r="O1683" i="1"/>
  <c r="N1683" i="1"/>
  <c r="M1683" i="1"/>
  <c r="J1683" i="1"/>
  <c r="I1683" i="1"/>
  <c r="H1683" i="1"/>
  <c r="F1683" i="1"/>
  <c r="D1683" i="1"/>
  <c r="B1683" i="1"/>
  <c r="A1683" i="1"/>
  <c r="U1711" i="1"/>
  <c r="R1711" i="1"/>
  <c r="Q1711" i="1"/>
  <c r="P1711" i="1"/>
  <c r="O1711" i="1"/>
  <c r="N1711" i="1"/>
  <c r="M1711" i="1"/>
  <c r="J1711" i="1"/>
  <c r="I1711" i="1"/>
  <c r="H1711" i="1"/>
  <c r="F1711" i="1"/>
  <c r="D1711" i="1"/>
  <c r="A1711" i="1"/>
  <c r="U1753" i="1"/>
  <c r="R1753" i="1"/>
  <c r="Q1753" i="1"/>
  <c r="P1753" i="1"/>
  <c r="O1753" i="1"/>
  <c r="N1753" i="1"/>
  <c r="M1753" i="1"/>
  <c r="J1753" i="1"/>
  <c r="I1753" i="1"/>
  <c r="H1753" i="1"/>
  <c r="F1753" i="1"/>
  <c r="E1753" i="1"/>
  <c r="D1753" i="1"/>
  <c r="B1753" i="1"/>
  <c r="A1753" i="1"/>
  <c r="U1699" i="1"/>
  <c r="R1699" i="1"/>
  <c r="Q1699" i="1"/>
  <c r="P1699" i="1"/>
  <c r="O1699" i="1"/>
  <c r="N1699" i="1"/>
  <c r="M1699" i="1"/>
  <c r="J1699" i="1"/>
  <c r="I1699" i="1"/>
  <c r="H1699" i="1"/>
  <c r="F1699" i="1"/>
  <c r="E1699" i="1"/>
  <c r="D1699" i="1"/>
  <c r="B1699" i="1"/>
  <c r="A1699" i="1"/>
  <c r="U1866" i="1"/>
  <c r="R1866" i="1"/>
  <c r="Q1866" i="1"/>
  <c r="P1866" i="1"/>
  <c r="O1866" i="1"/>
  <c r="N1866" i="1"/>
  <c r="M1866" i="1"/>
  <c r="J1866" i="1"/>
  <c r="I1866" i="1"/>
  <c r="H1866" i="1"/>
  <c r="F1866" i="1"/>
  <c r="D1866" i="1"/>
  <c r="B1866" i="1"/>
  <c r="A1866" i="1"/>
  <c r="U1907" i="1"/>
  <c r="R1907" i="1"/>
  <c r="Q1907" i="1"/>
  <c r="P1907" i="1"/>
  <c r="O1907" i="1"/>
  <c r="N1907" i="1"/>
  <c r="M1907" i="1"/>
  <c r="J1907" i="1"/>
  <c r="I1907" i="1"/>
  <c r="H1907" i="1"/>
  <c r="F1907" i="1"/>
  <c r="D1907" i="1"/>
  <c r="B1907" i="1"/>
  <c r="A1907" i="1"/>
  <c r="U1920" i="1"/>
  <c r="R1920" i="1"/>
  <c r="Q1920" i="1"/>
  <c r="P1920" i="1"/>
  <c r="O1920" i="1"/>
  <c r="N1920" i="1"/>
  <c r="M1920" i="1"/>
  <c r="J1920" i="1"/>
  <c r="I1920" i="1"/>
  <c r="H1920" i="1"/>
  <c r="F1920" i="1"/>
  <c r="E1920" i="1"/>
  <c r="D1920" i="1"/>
  <c r="B1920" i="1"/>
  <c r="A1920" i="1"/>
  <c r="U1950" i="1"/>
  <c r="R1950" i="1"/>
  <c r="Q1950" i="1"/>
  <c r="P1950" i="1"/>
  <c r="O1950" i="1"/>
  <c r="N1950" i="1"/>
  <c r="M1950" i="1"/>
  <c r="J1950" i="1"/>
  <c r="I1950" i="1"/>
  <c r="H1950" i="1"/>
  <c r="F1950" i="1"/>
  <c r="E1950" i="1"/>
  <c r="D1950" i="1"/>
  <c r="B1950" i="1"/>
  <c r="A1950" i="1"/>
  <c r="U2087" i="1"/>
  <c r="R2087" i="1"/>
  <c r="Q2087" i="1"/>
  <c r="P2087" i="1"/>
  <c r="O2087" i="1"/>
  <c r="N2087" i="1"/>
  <c r="M2087" i="1"/>
  <c r="J2087" i="1"/>
  <c r="I2087" i="1"/>
  <c r="H2087" i="1"/>
  <c r="F2087" i="1"/>
  <c r="D2087" i="1"/>
  <c r="B2087" i="1"/>
  <c r="A2087" i="1"/>
  <c r="U2180" i="1"/>
  <c r="R2180" i="1"/>
  <c r="Q2180" i="1"/>
  <c r="P2180" i="1"/>
  <c r="O2180" i="1"/>
  <c r="N2180" i="1"/>
  <c r="M2180" i="1"/>
  <c r="K2180" i="1"/>
  <c r="J2180" i="1"/>
  <c r="I2180" i="1"/>
  <c r="H2180" i="1"/>
  <c r="F2180" i="1"/>
  <c r="E2180" i="1"/>
  <c r="D2180" i="1"/>
  <c r="B2180" i="1"/>
  <c r="A2180" i="1"/>
  <c r="U2494" i="1"/>
  <c r="R2494" i="1"/>
  <c r="Q2494" i="1"/>
  <c r="P2494" i="1"/>
  <c r="O2494" i="1"/>
  <c r="N2494" i="1"/>
  <c r="M2494" i="1"/>
  <c r="J2494" i="1"/>
  <c r="I2494" i="1"/>
  <c r="H2494" i="1"/>
  <c r="F2494" i="1"/>
  <c r="D2494" i="1"/>
  <c r="B2494" i="1"/>
  <c r="A2494" i="1"/>
  <c r="U2260" i="1"/>
  <c r="R2260" i="1"/>
  <c r="Q2260" i="1"/>
  <c r="P2260" i="1"/>
  <c r="O2260" i="1"/>
  <c r="N2260" i="1"/>
  <c r="M2260" i="1"/>
  <c r="K2260" i="1"/>
  <c r="J2260" i="1"/>
  <c r="I2260" i="1"/>
  <c r="H2260" i="1"/>
  <c r="F2260" i="1"/>
  <c r="E2260" i="1"/>
  <c r="D2260" i="1"/>
  <c r="B2260" i="1"/>
  <c r="A2260" i="1"/>
  <c r="U2264" i="1"/>
  <c r="R2264" i="1"/>
  <c r="Q2264" i="1"/>
  <c r="P2264" i="1"/>
  <c r="O2264" i="1"/>
  <c r="N2264" i="1"/>
  <c r="M2264" i="1"/>
  <c r="J2264" i="1"/>
  <c r="I2264" i="1"/>
  <c r="H2264" i="1"/>
  <c r="F2264" i="1"/>
  <c r="D2264" i="1"/>
  <c r="B2264" i="1"/>
  <c r="A2264" i="1"/>
  <c r="U2475" i="1"/>
  <c r="R2475" i="1"/>
  <c r="Q2475" i="1"/>
  <c r="P2475" i="1"/>
  <c r="O2475" i="1"/>
  <c r="N2475" i="1"/>
  <c r="M2475" i="1"/>
  <c r="K2475" i="1"/>
  <c r="J2475" i="1"/>
  <c r="I2475" i="1"/>
  <c r="H2475" i="1"/>
  <c r="F2475" i="1"/>
  <c r="D2475" i="1"/>
  <c r="B2475" i="1"/>
  <c r="A2475" i="1"/>
  <c r="U2532" i="1"/>
  <c r="R2532" i="1"/>
  <c r="Q2532" i="1"/>
  <c r="P2532" i="1"/>
  <c r="O2532" i="1"/>
  <c r="N2532" i="1"/>
  <c r="M2532" i="1"/>
  <c r="K2532" i="1"/>
  <c r="J2532" i="1"/>
  <c r="I2532" i="1"/>
  <c r="H2532" i="1"/>
  <c r="F2532" i="1"/>
  <c r="D2532" i="1"/>
  <c r="A2532" i="1"/>
  <c r="U2923" i="1"/>
  <c r="R2923" i="1"/>
  <c r="Q2923" i="1"/>
  <c r="P2923" i="1"/>
  <c r="O2923" i="1"/>
  <c r="N2923" i="1"/>
  <c r="M2923" i="1"/>
  <c r="K2923" i="1"/>
  <c r="J2923" i="1"/>
  <c r="I2923" i="1"/>
  <c r="H2923" i="1"/>
  <c r="F2923" i="1"/>
  <c r="D2923" i="1"/>
  <c r="B2923" i="1"/>
  <c r="A2923" i="1"/>
  <c r="U2424" i="1"/>
  <c r="R2424" i="1"/>
  <c r="Q2424" i="1"/>
  <c r="P2424" i="1"/>
  <c r="O2424" i="1"/>
  <c r="N2424" i="1"/>
  <c r="M2424" i="1"/>
  <c r="K2424" i="1"/>
  <c r="J2424" i="1"/>
  <c r="I2424" i="1"/>
  <c r="H2424" i="1"/>
  <c r="F2424" i="1"/>
  <c r="D2424" i="1"/>
  <c r="B2424" i="1"/>
  <c r="A2424" i="1"/>
  <c r="U2906" i="1"/>
  <c r="R2906" i="1"/>
  <c r="Q2906" i="1"/>
  <c r="P2906" i="1"/>
  <c r="O2906" i="1"/>
  <c r="N2906" i="1"/>
  <c r="M2906" i="1"/>
  <c r="K2906" i="1"/>
  <c r="J2906" i="1"/>
  <c r="I2906" i="1"/>
  <c r="H2906" i="1"/>
  <c r="F2906" i="1"/>
  <c r="D2906" i="1"/>
  <c r="B2906" i="1"/>
  <c r="A2906" i="1"/>
  <c r="U3219" i="1"/>
  <c r="R3219" i="1"/>
  <c r="Q3219" i="1"/>
  <c r="P3219" i="1"/>
  <c r="O3219" i="1"/>
  <c r="N3219" i="1"/>
  <c r="M3219" i="1"/>
  <c r="K3219" i="1"/>
  <c r="J3219" i="1"/>
  <c r="I3219" i="1"/>
  <c r="H3219" i="1"/>
  <c r="F3219" i="1"/>
  <c r="D3219" i="1"/>
  <c r="B3219" i="1"/>
  <c r="A3219" i="1"/>
  <c r="U2689" i="1"/>
  <c r="R2689" i="1"/>
  <c r="Q2689" i="1"/>
  <c r="P2689" i="1"/>
  <c r="O2689" i="1"/>
  <c r="N2689" i="1"/>
  <c r="M2689" i="1"/>
  <c r="J2689" i="1"/>
  <c r="I2689" i="1"/>
  <c r="H2689" i="1"/>
  <c r="F2689" i="1"/>
  <c r="E2689" i="1"/>
  <c r="D2689" i="1"/>
  <c r="A2689" i="1"/>
  <c r="U3019" i="1"/>
  <c r="R3019" i="1"/>
  <c r="Q3019" i="1"/>
  <c r="P3019" i="1"/>
  <c r="O3019" i="1"/>
  <c r="N3019" i="1"/>
  <c r="M3019" i="1"/>
  <c r="K3019" i="1"/>
  <c r="J3019" i="1"/>
  <c r="I3019" i="1"/>
  <c r="H3019" i="1"/>
  <c r="F3019" i="1"/>
  <c r="D3019" i="1"/>
  <c r="B3019" i="1"/>
  <c r="A3019" i="1"/>
  <c r="U3078" i="1"/>
  <c r="R3078" i="1"/>
  <c r="Q3078" i="1"/>
  <c r="P3078" i="1"/>
  <c r="O3078" i="1"/>
  <c r="N3078" i="1"/>
  <c r="M3078" i="1"/>
  <c r="K3078" i="1"/>
  <c r="J3078" i="1"/>
  <c r="I3078" i="1"/>
  <c r="H3078" i="1"/>
  <c r="G3078" i="1"/>
  <c r="F3078" i="1"/>
  <c r="D3078" i="1"/>
  <c r="B3078" i="1"/>
  <c r="A3078" i="1"/>
  <c r="U169" i="1"/>
  <c r="R169" i="1"/>
  <c r="Q169" i="1"/>
  <c r="P169" i="1"/>
  <c r="O169" i="1"/>
  <c r="N169" i="1"/>
  <c r="M169" i="1"/>
  <c r="J169" i="1"/>
  <c r="I169" i="1"/>
  <c r="H169" i="1"/>
  <c r="F169" i="1"/>
  <c r="D169" i="1"/>
  <c r="B169" i="1"/>
  <c r="A169" i="1"/>
  <c r="U205" i="1"/>
  <c r="R205" i="1"/>
  <c r="Q205" i="1"/>
  <c r="P205" i="1"/>
  <c r="O205" i="1"/>
  <c r="N205" i="1"/>
  <c r="M205" i="1"/>
  <c r="J205" i="1"/>
  <c r="I205" i="1"/>
  <c r="H205" i="1"/>
  <c r="F205" i="1"/>
  <c r="D205" i="1"/>
  <c r="B205" i="1"/>
  <c r="A205" i="1"/>
  <c r="U260" i="1"/>
  <c r="R260" i="1"/>
  <c r="Q260" i="1"/>
  <c r="P260" i="1"/>
  <c r="O260" i="1"/>
  <c r="N260" i="1"/>
  <c r="M260" i="1"/>
  <c r="J260" i="1"/>
  <c r="I260" i="1"/>
  <c r="H260" i="1"/>
  <c r="F260" i="1"/>
  <c r="E260" i="1"/>
  <c r="D260" i="1"/>
  <c r="B260" i="1"/>
  <c r="A260" i="1"/>
  <c r="U269" i="1"/>
  <c r="R269" i="1"/>
  <c r="Q269" i="1"/>
  <c r="P269" i="1"/>
  <c r="O269" i="1"/>
  <c r="N269" i="1"/>
  <c r="M269" i="1"/>
  <c r="J269" i="1"/>
  <c r="I269" i="1"/>
  <c r="H269" i="1"/>
  <c r="F269" i="1"/>
  <c r="D269" i="1"/>
  <c r="B269" i="1"/>
  <c r="A269" i="1"/>
  <c r="U419" i="1"/>
  <c r="R419" i="1"/>
  <c r="Q419" i="1"/>
  <c r="P419" i="1"/>
  <c r="O419" i="1"/>
  <c r="N419" i="1"/>
  <c r="M419" i="1"/>
  <c r="J419" i="1"/>
  <c r="I419" i="1"/>
  <c r="H419" i="1"/>
  <c r="F419" i="1"/>
  <c r="D419" i="1"/>
  <c r="B419" i="1"/>
  <c r="A419" i="1"/>
  <c r="U259" i="1"/>
  <c r="R259" i="1"/>
  <c r="Q259" i="1"/>
  <c r="P259" i="1"/>
  <c r="O259" i="1"/>
  <c r="N259" i="1"/>
  <c r="M259" i="1"/>
  <c r="J259" i="1"/>
  <c r="I259" i="1"/>
  <c r="H259" i="1"/>
  <c r="F259" i="1"/>
  <c r="D259" i="1"/>
  <c r="B259" i="1"/>
  <c r="A259" i="1"/>
  <c r="U430" i="1"/>
  <c r="R430" i="1"/>
  <c r="Q430" i="1"/>
  <c r="P430" i="1"/>
  <c r="O430" i="1"/>
  <c r="N430" i="1"/>
  <c r="M430" i="1"/>
  <c r="J430" i="1"/>
  <c r="I430" i="1"/>
  <c r="H430" i="1"/>
  <c r="F430" i="1"/>
  <c r="D430" i="1"/>
  <c r="B430" i="1"/>
  <c r="A430" i="1"/>
  <c r="U298" i="1"/>
  <c r="R298" i="1"/>
  <c r="Q298" i="1"/>
  <c r="P298" i="1"/>
  <c r="O298" i="1"/>
  <c r="N298" i="1"/>
  <c r="M298" i="1"/>
  <c r="J298" i="1"/>
  <c r="I298" i="1"/>
  <c r="H298" i="1"/>
  <c r="F298" i="1"/>
  <c r="D298" i="1"/>
  <c r="B298" i="1"/>
  <c r="A298" i="1"/>
  <c r="U654" i="1"/>
  <c r="R654" i="1"/>
  <c r="Q654" i="1"/>
  <c r="P654" i="1"/>
  <c r="O654" i="1"/>
  <c r="N654" i="1"/>
  <c r="M654" i="1"/>
  <c r="J654" i="1"/>
  <c r="I654" i="1"/>
  <c r="H654" i="1"/>
  <c r="F654" i="1"/>
  <c r="D654" i="1"/>
  <c r="B654" i="1"/>
  <c r="A654" i="1"/>
  <c r="U726" i="1"/>
  <c r="R726" i="1"/>
  <c r="Q726" i="1"/>
  <c r="P726" i="1"/>
  <c r="O726" i="1"/>
  <c r="N726" i="1"/>
  <c r="M726" i="1"/>
  <c r="J726" i="1"/>
  <c r="I726" i="1"/>
  <c r="H726" i="1"/>
  <c r="F726" i="1"/>
  <c r="E726" i="1"/>
  <c r="D726" i="1"/>
  <c r="B726" i="1"/>
  <c r="A726" i="1"/>
  <c r="U811" i="1"/>
  <c r="R811" i="1"/>
  <c r="Q811" i="1"/>
  <c r="P811" i="1"/>
  <c r="O811" i="1"/>
  <c r="N811" i="1"/>
  <c r="M811" i="1"/>
  <c r="I811" i="1"/>
  <c r="H811" i="1"/>
  <c r="F811" i="1"/>
  <c r="D811" i="1"/>
  <c r="B811" i="1"/>
  <c r="A811" i="1"/>
  <c r="U869" i="1"/>
  <c r="R869" i="1"/>
  <c r="Q869" i="1"/>
  <c r="P869" i="1"/>
  <c r="O869" i="1"/>
  <c r="N869" i="1"/>
  <c r="M869" i="1"/>
  <c r="J869" i="1"/>
  <c r="I869" i="1"/>
  <c r="H869" i="1"/>
  <c r="F869" i="1"/>
  <c r="D869" i="1"/>
  <c r="B869" i="1"/>
  <c r="A869" i="1"/>
  <c r="U787" i="1"/>
  <c r="R787" i="1"/>
  <c r="Q787" i="1"/>
  <c r="P787" i="1"/>
  <c r="O787" i="1"/>
  <c r="N787" i="1"/>
  <c r="M787" i="1"/>
  <c r="J787" i="1"/>
  <c r="I787" i="1"/>
  <c r="H787" i="1"/>
  <c r="F787" i="1"/>
  <c r="D787" i="1"/>
  <c r="B787" i="1"/>
  <c r="A787" i="1"/>
  <c r="U927" i="1"/>
  <c r="R927" i="1"/>
  <c r="Q927" i="1"/>
  <c r="P927" i="1"/>
  <c r="O927" i="1"/>
  <c r="N927" i="1"/>
  <c r="M927" i="1"/>
  <c r="J927" i="1"/>
  <c r="I927" i="1"/>
  <c r="H927" i="1"/>
  <c r="F927" i="1"/>
  <c r="D927" i="1"/>
  <c r="B927" i="1"/>
  <c r="A927" i="1"/>
  <c r="U939" i="1"/>
  <c r="R939" i="1"/>
  <c r="Q939" i="1"/>
  <c r="P939" i="1"/>
  <c r="O939" i="1"/>
  <c r="N939" i="1"/>
  <c r="M939" i="1"/>
  <c r="J939" i="1"/>
  <c r="I939" i="1"/>
  <c r="H939" i="1"/>
  <c r="F939" i="1"/>
  <c r="D939" i="1"/>
  <c r="B939" i="1"/>
  <c r="A939" i="1"/>
  <c r="U904" i="1"/>
  <c r="R904" i="1"/>
  <c r="Q904" i="1"/>
  <c r="P904" i="1"/>
  <c r="O904" i="1"/>
  <c r="N904" i="1"/>
  <c r="M904" i="1"/>
  <c r="J904" i="1"/>
  <c r="I904" i="1"/>
  <c r="H904" i="1"/>
  <c r="F904" i="1"/>
  <c r="D904" i="1"/>
  <c r="B904" i="1"/>
  <c r="A904" i="1"/>
  <c r="U824" i="1"/>
  <c r="R824" i="1"/>
  <c r="Q824" i="1"/>
  <c r="P824" i="1"/>
  <c r="O824" i="1"/>
  <c r="N824" i="1"/>
  <c r="M824" i="1"/>
  <c r="I824" i="1"/>
  <c r="H824" i="1"/>
  <c r="F824" i="1"/>
  <c r="D824" i="1"/>
  <c r="B824" i="1"/>
  <c r="A824" i="1"/>
  <c r="U994" i="1"/>
  <c r="R994" i="1"/>
  <c r="Q994" i="1"/>
  <c r="P994" i="1"/>
  <c r="O994" i="1"/>
  <c r="N994" i="1"/>
  <c r="M994" i="1"/>
  <c r="I994" i="1"/>
  <c r="H994" i="1"/>
  <c r="F994" i="1"/>
  <c r="D994" i="1"/>
  <c r="B994" i="1"/>
  <c r="A994" i="1"/>
  <c r="U1043" i="1"/>
  <c r="R1043" i="1"/>
  <c r="Q1043" i="1"/>
  <c r="P1043" i="1"/>
  <c r="O1043" i="1"/>
  <c r="N1043" i="1"/>
  <c r="M1043" i="1"/>
  <c r="J1043" i="1"/>
  <c r="I1043" i="1"/>
  <c r="H1043" i="1"/>
  <c r="F1043" i="1"/>
  <c r="D1043" i="1"/>
  <c r="B1043" i="1"/>
  <c r="A1043" i="1"/>
  <c r="U1153" i="1"/>
  <c r="R1153" i="1"/>
  <c r="Q1153" i="1"/>
  <c r="P1153" i="1"/>
  <c r="O1153" i="1"/>
  <c r="N1153" i="1"/>
  <c r="M1153" i="1"/>
  <c r="J1153" i="1"/>
  <c r="I1153" i="1"/>
  <c r="H1153" i="1"/>
  <c r="F1153" i="1"/>
  <c r="D1153" i="1"/>
  <c r="B1153" i="1"/>
  <c r="A1153" i="1"/>
  <c r="U1190" i="1"/>
  <c r="R1190" i="1"/>
  <c r="Q1190" i="1"/>
  <c r="P1190" i="1"/>
  <c r="O1190" i="1"/>
  <c r="N1190" i="1"/>
  <c r="M1190" i="1"/>
  <c r="K1190" i="1"/>
  <c r="J1190" i="1"/>
  <c r="I1190" i="1"/>
  <c r="H1190" i="1"/>
  <c r="F1190" i="1"/>
  <c r="D1190" i="1"/>
  <c r="B1190" i="1"/>
  <c r="A1190" i="1"/>
  <c r="U1323" i="1"/>
  <c r="R1323" i="1"/>
  <c r="Q1323" i="1"/>
  <c r="P1323" i="1"/>
  <c r="O1323" i="1"/>
  <c r="N1323" i="1"/>
  <c r="M1323" i="1"/>
  <c r="I1323" i="1"/>
  <c r="H1323" i="1"/>
  <c r="F1323" i="1"/>
  <c r="D1323" i="1"/>
  <c r="B1323" i="1"/>
  <c r="A1323" i="1"/>
  <c r="U1173" i="1"/>
  <c r="R1173" i="1"/>
  <c r="Q1173" i="1"/>
  <c r="P1173" i="1"/>
  <c r="O1173" i="1"/>
  <c r="N1173" i="1"/>
  <c r="M1173" i="1"/>
  <c r="I1173" i="1"/>
  <c r="H1173" i="1"/>
  <c r="F1173" i="1"/>
  <c r="D1173" i="1"/>
  <c r="B1173" i="1"/>
  <c r="A1173" i="1"/>
  <c r="U1333" i="1"/>
  <c r="R1333" i="1"/>
  <c r="Q1333" i="1"/>
  <c r="P1333" i="1"/>
  <c r="O1333" i="1"/>
  <c r="N1333" i="1"/>
  <c r="M1333" i="1"/>
  <c r="I1333" i="1"/>
  <c r="H1333" i="1"/>
  <c r="F1333" i="1"/>
  <c r="D1333" i="1"/>
  <c r="B1333" i="1"/>
  <c r="A1333" i="1"/>
  <c r="U1246" i="1"/>
  <c r="R1246" i="1"/>
  <c r="Q1246" i="1"/>
  <c r="P1246" i="1"/>
  <c r="O1246" i="1"/>
  <c r="N1246" i="1"/>
  <c r="M1246" i="1"/>
  <c r="J1246" i="1"/>
  <c r="I1246" i="1"/>
  <c r="H1246" i="1"/>
  <c r="F1246" i="1"/>
  <c r="D1246" i="1"/>
  <c r="B1246" i="1"/>
  <c r="A1246" i="1"/>
  <c r="U1362" i="1"/>
  <c r="R1362" i="1"/>
  <c r="Q1362" i="1"/>
  <c r="P1362" i="1"/>
  <c r="O1362" i="1"/>
  <c r="N1362" i="1"/>
  <c r="M1362" i="1"/>
  <c r="J1362" i="1"/>
  <c r="I1362" i="1"/>
  <c r="H1362" i="1"/>
  <c r="F1362" i="1"/>
  <c r="D1362" i="1"/>
  <c r="B1362" i="1"/>
  <c r="A1362" i="1"/>
  <c r="U1340" i="1"/>
  <c r="R1340" i="1"/>
  <c r="Q1340" i="1"/>
  <c r="P1340" i="1"/>
  <c r="O1340" i="1"/>
  <c r="N1340" i="1"/>
  <c r="M1340" i="1"/>
  <c r="J1340" i="1"/>
  <c r="I1340" i="1"/>
  <c r="H1340" i="1"/>
  <c r="F1340" i="1"/>
  <c r="D1340" i="1"/>
  <c r="B1340" i="1"/>
  <c r="A1340" i="1"/>
  <c r="U1327" i="1"/>
  <c r="R1327" i="1"/>
  <c r="Q1327" i="1"/>
  <c r="P1327" i="1"/>
  <c r="O1327" i="1"/>
  <c r="N1327" i="1"/>
  <c r="M1327" i="1"/>
  <c r="J1327" i="1"/>
  <c r="I1327" i="1"/>
  <c r="H1327" i="1"/>
  <c r="F1327" i="1"/>
  <c r="D1327" i="1"/>
  <c r="B1327" i="1"/>
  <c r="A1327" i="1"/>
  <c r="U1363" i="1"/>
  <c r="R1363" i="1"/>
  <c r="Q1363" i="1"/>
  <c r="P1363" i="1"/>
  <c r="O1363" i="1"/>
  <c r="N1363" i="1"/>
  <c r="M1363" i="1"/>
  <c r="J1363" i="1"/>
  <c r="I1363" i="1"/>
  <c r="H1363" i="1"/>
  <c r="F1363" i="1"/>
  <c r="E1363" i="1"/>
  <c r="D1363" i="1"/>
  <c r="B1363" i="1"/>
  <c r="A1363" i="1"/>
  <c r="U1330" i="1"/>
  <c r="R1330" i="1"/>
  <c r="Q1330" i="1"/>
  <c r="P1330" i="1"/>
  <c r="O1330" i="1"/>
  <c r="N1330" i="1"/>
  <c r="M1330" i="1"/>
  <c r="J1330" i="1"/>
  <c r="I1330" i="1"/>
  <c r="H1330" i="1"/>
  <c r="F1330" i="1"/>
  <c r="D1330" i="1"/>
  <c r="B1330" i="1"/>
  <c r="A1330" i="1"/>
  <c r="U1473" i="1"/>
  <c r="R1473" i="1"/>
  <c r="Q1473" i="1"/>
  <c r="P1473" i="1"/>
  <c r="O1473" i="1"/>
  <c r="N1473" i="1"/>
  <c r="M1473" i="1"/>
  <c r="J1473" i="1"/>
  <c r="I1473" i="1"/>
  <c r="H1473" i="1"/>
  <c r="F1473" i="1"/>
  <c r="E1473" i="1"/>
  <c r="D1473" i="1"/>
  <c r="B1473" i="1"/>
  <c r="A1473" i="1"/>
  <c r="U1514" i="1"/>
  <c r="R1514" i="1"/>
  <c r="Q1514" i="1"/>
  <c r="P1514" i="1"/>
  <c r="O1514" i="1"/>
  <c r="N1514" i="1"/>
  <c r="M1514" i="1"/>
  <c r="I1514" i="1"/>
  <c r="H1514" i="1"/>
  <c r="F1514" i="1"/>
  <c r="E1514" i="1"/>
  <c r="D1514" i="1"/>
  <c r="B1514" i="1"/>
  <c r="A1514" i="1"/>
  <c r="U1609" i="1"/>
  <c r="R1609" i="1"/>
  <c r="Q1609" i="1"/>
  <c r="P1609" i="1"/>
  <c r="O1609" i="1"/>
  <c r="N1609" i="1"/>
  <c r="M1609" i="1"/>
  <c r="J1609" i="1"/>
  <c r="I1609" i="1"/>
  <c r="H1609" i="1"/>
  <c r="F1609" i="1"/>
  <c r="D1609" i="1"/>
  <c r="B1609" i="1"/>
  <c r="A1609" i="1"/>
  <c r="U1654" i="1"/>
  <c r="R1654" i="1"/>
  <c r="Q1654" i="1"/>
  <c r="P1654" i="1"/>
  <c r="O1654" i="1"/>
  <c r="N1654" i="1"/>
  <c r="M1654" i="1"/>
  <c r="K1654" i="1"/>
  <c r="J1654" i="1"/>
  <c r="I1654" i="1"/>
  <c r="H1654" i="1"/>
  <c r="F1654" i="1"/>
  <c r="D1654" i="1"/>
  <c r="B1654" i="1"/>
  <c r="A1654" i="1"/>
  <c r="U1815" i="1"/>
  <c r="R1815" i="1"/>
  <c r="Q1815" i="1"/>
  <c r="P1815" i="1"/>
  <c r="O1815" i="1"/>
  <c r="N1815" i="1"/>
  <c r="M1815" i="1"/>
  <c r="J1815" i="1"/>
  <c r="I1815" i="1"/>
  <c r="H1815" i="1"/>
  <c r="F1815" i="1"/>
  <c r="D1815" i="1"/>
  <c r="B1815" i="1"/>
  <c r="A1815" i="1"/>
  <c r="U1832" i="1"/>
  <c r="R1832" i="1"/>
  <c r="Q1832" i="1"/>
  <c r="P1832" i="1"/>
  <c r="O1832" i="1"/>
  <c r="N1832" i="1"/>
  <c r="M1832" i="1"/>
  <c r="K1832" i="1"/>
  <c r="J1832" i="1"/>
  <c r="I1832" i="1"/>
  <c r="H1832" i="1"/>
  <c r="F1832" i="1"/>
  <c r="E1832" i="1"/>
  <c r="D1832" i="1"/>
  <c r="B1832" i="1"/>
  <c r="A1832" i="1"/>
  <c r="U1840" i="1"/>
  <c r="R1840" i="1"/>
  <c r="Q1840" i="1"/>
  <c r="P1840" i="1"/>
  <c r="O1840" i="1"/>
  <c r="N1840" i="1"/>
  <c r="M1840" i="1"/>
  <c r="K1840" i="1"/>
  <c r="J1840" i="1"/>
  <c r="I1840" i="1"/>
  <c r="H1840" i="1"/>
  <c r="F1840" i="1"/>
  <c r="E1840" i="1"/>
  <c r="D1840" i="1"/>
  <c r="B1840" i="1"/>
  <c r="A1840" i="1"/>
  <c r="U2423" i="1"/>
  <c r="R2423" i="1"/>
  <c r="Q2423" i="1"/>
  <c r="P2423" i="1"/>
  <c r="O2423" i="1"/>
  <c r="N2423" i="1"/>
  <c r="M2423" i="1"/>
  <c r="K2423" i="1"/>
  <c r="J2423" i="1"/>
  <c r="I2423" i="1"/>
  <c r="H2423" i="1"/>
  <c r="F2423" i="1"/>
  <c r="E2423" i="1"/>
  <c r="D2423" i="1"/>
  <c r="B2423" i="1"/>
  <c r="A2423" i="1"/>
  <c r="U1875" i="1"/>
  <c r="R1875" i="1"/>
  <c r="Q1875" i="1"/>
  <c r="P1875" i="1"/>
  <c r="O1875" i="1"/>
  <c r="N1875" i="1"/>
  <c r="M1875" i="1"/>
  <c r="K1875" i="1"/>
  <c r="I1875" i="1"/>
  <c r="H1875" i="1"/>
  <c r="F1875" i="1"/>
  <c r="E1875" i="1"/>
  <c r="D1875" i="1"/>
  <c r="B1875" i="1"/>
  <c r="A1875" i="1"/>
  <c r="U2345" i="1"/>
  <c r="R2345" i="1"/>
  <c r="Q2345" i="1"/>
  <c r="P2345" i="1"/>
  <c r="O2345" i="1"/>
  <c r="N2345" i="1"/>
  <c r="M2345" i="1"/>
  <c r="K2345" i="1"/>
  <c r="J2345" i="1"/>
  <c r="I2345" i="1"/>
  <c r="H2345" i="1"/>
  <c r="F2345" i="1"/>
  <c r="D2345" i="1"/>
  <c r="B2345" i="1"/>
  <c r="A2345" i="1"/>
  <c r="U2533" i="1"/>
  <c r="R2533" i="1"/>
  <c r="Q2533" i="1"/>
  <c r="P2533" i="1"/>
  <c r="O2533" i="1"/>
  <c r="N2533" i="1"/>
  <c r="M2533" i="1"/>
  <c r="K2533" i="1"/>
  <c r="J2533" i="1"/>
  <c r="I2533" i="1"/>
  <c r="H2533" i="1"/>
  <c r="F2533" i="1"/>
  <c r="D2533" i="1"/>
  <c r="B2533" i="1"/>
  <c r="A2533" i="1"/>
  <c r="U2054" i="1"/>
  <c r="R2054" i="1"/>
  <c r="Q2054" i="1"/>
  <c r="P2054" i="1"/>
  <c r="O2054" i="1"/>
  <c r="N2054" i="1"/>
  <c r="M2054" i="1"/>
  <c r="K2054" i="1"/>
  <c r="J2054" i="1"/>
  <c r="I2054" i="1"/>
  <c r="H2054" i="1"/>
  <c r="F2054" i="1"/>
  <c r="D2054" i="1"/>
  <c r="B2054" i="1"/>
  <c r="A2054" i="1"/>
  <c r="U2311" i="1"/>
  <c r="R2311" i="1"/>
  <c r="Q2311" i="1"/>
  <c r="P2311" i="1"/>
  <c r="O2311" i="1"/>
  <c r="N2311" i="1"/>
  <c r="M2311" i="1"/>
  <c r="K2311" i="1"/>
  <c r="J2311" i="1"/>
  <c r="I2311" i="1"/>
  <c r="H2311" i="1"/>
  <c r="F2311" i="1"/>
  <c r="D2311" i="1"/>
  <c r="B2311" i="1"/>
  <c r="A2311" i="1"/>
  <c r="U2316" i="1"/>
  <c r="R2316" i="1"/>
  <c r="Q2316" i="1"/>
  <c r="P2316" i="1"/>
  <c r="O2316" i="1"/>
  <c r="N2316" i="1"/>
  <c r="M2316" i="1"/>
  <c r="K2316" i="1"/>
  <c r="J2316" i="1"/>
  <c r="I2316" i="1"/>
  <c r="H2316" i="1"/>
  <c r="F2316" i="1"/>
  <c r="D2316" i="1"/>
  <c r="B2316" i="1"/>
  <c r="A2316" i="1"/>
  <c r="U2559" i="1"/>
  <c r="R2559" i="1"/>
  <c r="Q2559" i="1"/>
  <c r="P2559" i="1"/>
  <c r="O2559" i="1"/>
  <c r="N2559" i="1"/>
  <c r="M2559" i="1"/>
  <c r="K2559" i="1"/>
  <c r="J2559" i="1"/>
  <c r="I2559" i="1"/>
  <c r="H2559" i="1"/>
  <c r="F2559" i="1"/>
  <c r="D2559" i="1"/>
  <c r="B2559" i="1"/>
  <c r="A2559" i="1"/>
  <c r="U293" i="1"/>
  <c r="R293" i="1"/>
  <c r="Q293" i="1"/>
  <c r="P293" i="1"/>
  <c r="O293" i="1"/>
  <c r="N293" i="1"/>
  <c r="M293" i="1"/>
  <c r="J293" i="1"/>
  <c r="I293" i="1"/>
  <c r="H293" i="1"/>
  <c r="F293" i="1"/>
  <c r="D293" i="1"/>
  <c r="B293" i="1"/>
  <c r="A293" i="1"/>
  <c r="U292" i="1"/>
  <c r="R292" i="1"/>
  <c r="Q292" i="1"/>
  <c r="P292" i="1"/>
  <c r="O292" i="1"/>
  <c r="N292" i="1"/>
  <c r="M292" i="1"/>
  <c r="J292" i="1"/>
  <c r="I292" i="1"/>
  <c r="H292" i="1"/>
  <c r="F292" i="1"/>
  <c r="D292" i="1"/>
  <c r="B292" i="1"/>
  <c r="A292" i="1"/>
  <c r="U403" i="1"/>
  <c r="R403" i="1"/>
  <c r="Q403" i="1"/>
  <c r="P403" i="1"/>
  <c r="O403" i="1"/>
  <c r="N403" i="1"/>
  <c r="M403" i="1"/>
  <c r="J403" i="1"/>
  <c r="I403" i="1"/>
  <c r="H403" i="1"/>
  <c r="F403" i="1"/>
  <c r="D403" i="1"/>
  <c r="B403" i="1"/>
  <c r="A403" i="1"/>
  <c r="U1172" i="1"/>
  <c r="R1172" i="1"/>
  <c r="Q1172" i="1"/>
  <c r="P1172" i="1"/>
  <c r="O1172" i="1"/>
  <c r="N1172" i="1"/>
  <c r="M1172" i="1"/>
  <c r="J1172" i="1"/>
  <c r="I1172" i="1"/>
  <c r="H1172" i="1"/>
  <c r="F1172" i="1"/>
  <c r="D1172" i="1"/>
  <c r="B1172" i="1"/>
  <c r="A1172" i="1"/>
  <c r="U2539" i="1"/>
  <c r="R2539" i="1"/>
  <c r="Q2539" i="1"/>
  <c r="P2539" i="1"/>
  <c r="O2539" i="1"/>
  <c r="N2539" i="1"/>
  <c r="M2539" i="1"/>
  <c r="J2539" i="1"/>
  <c r="I2539" i="1"/>
  <c r="H2539" i="1"/>
  <c r="F2539" i="1"/>
  <c r="D2539" i="1"/>
  <c r="B2539" i="1"/>
  <c r="A2539" i="1"/>
  <c r="U2577" i="1"/>
  <c r="R2577" i="1"/>
  <c r="Q2577" i="1"/>
  <c r="P2577" i="1"/>
  <c r="O2577" i="1"/>
  <c r="N2577" i="1"/>
  <c r="M2577" i="1"/>
  <c r="J2577" i="1"/>
  <c r="I2577" i="1"/>
  <c r="H2577" i="1"/>
  <c r="F2577" i="1"/>
  <c r="D2577" i="1"/>
  <c r="B2577" i="1"/>
  <c r="A2577" i="1"/>
  <c r="U2597" i="1"/>
  <c r="R2597" i="1"/>
  <c r="Q2597" i="1"/>
  <c r="P2597" i="1"/>
  <c r="O2597" i="1"/>
  <c r="N2597" i="1"/>
  <c r="M2597" i="1"/>
  <c r="J2597" i="1"/>
  <c r="I2597" i="1"/>
  <c r="H2597" i="1"/>
  <c r="F2597" i="1"/>
  <c r="D2597" i="1"/>
  <c r="B2597" i="1"/>
  <c r="A2597" i="1"/>
  <c r="U2596" i="1"/>
  <c r="R2596" i="1"/>
  <c r="Q2596" i="1"/>
  <c r="P2596" i="1"/>
  <c r="O2596" i="1"/>
  <c r="N2596" i="1"/>
  <c r="M2596" i="1"/>
  <c r="J2596" i="1"/>
  <c r="I2596" i="1"/>
  <c r="H2596" i="1"/>
  <c r="G2596" i="1"/>
  <c r="F2596" i="1"/>
  <c r="D2596" i="1"/>
  <c r="B2596" i="1"/>
  <c r="A2596" i="1"/>
  <c r="U2885" i="1"/>
  <c r="R2885" i="1"/>
  <c r="Q2885" i="1"/>
  <c r="P2885" i="1"/>
  <c r="O2885" i="1"/>
  <c r="N2885" i="1"/>
  <c r="M2885" i="1"/>
  <c r="K2885" i="1"/>
  <c r="J2885" i="1"/>
  <c r="I2885" i="1"/>
  <c r="H2885" i="1"/>
  <c r="G2885" i="1"/>
  <c r="F2885" i="1"/>
  <c r="D2885" i="1"/>
  <c r="B2885" i="1"/>
  <c r="A2885" i="1"/>
  <c r="U2921" i="1"/>
  <c r="R2921" i="1"/>
  <c r="Q2921" i="1"/>
  <c r="P2921" i="1"/>
  <c r="O2921" i="1"/>
  <c r="N2921" i="1"/>
  <c r="M2921" i="1"/>
  <c r="K2921" i="1"/>
  <c r="J2921" i="1"/>
  <c r="I2921" i="1"/>
  <c r="H2921" i="1"/>
  <c r="F2921" i="1"/>
  <c r="D2921" i="1"/>
  <c r="B2921" i="1"/>
  <c r="A2921" i="1"/>
  <c r="U3159" i="1"/>
  <c r="R3159" i="1"/>
  <c r="Q3159" i="1"/>
  <c r="P3159" i="1"/>
  <c r="O3159" i="1"/>
  <c r="N3159" i="1"/>
  <c r="M3159" i="1"/>
  <c r="K3159" i="1"/>
  <c r="J3159" i="1"/>
  <c r="I3159" i="1"/>
  <c r="H3159" i="1"/>
  <c r="F3159" i="1"/>
  <c r="E3159" i="1"/>
  <c r="D3159" i="1"/>
  <c r="B3159" i="1"/>
  <c r="A3159" i="1"/>
  <c r="U2736" i="1"/>
  <c r="R2736" i="1"/>
  <c r="Q2736" i="1"/>
  <c r="P2736" i="1"/>
  <c r="O2736" i="1"/>
  <c r="N2736" i="1"/>
  <c r="M2736" i="1"/>
  <c r="J2736" i="1"/>
  <c r="I2736" i="1"/>
  <c r="H2736" i="1"/>
  <c r="F2736" i="1"/>
  <c r="D2736" i="1"/>
  <c r="B2736" i="1"/>
  <c r="A2736" i="1"/>
  <c r="U2865" i="1"/>
  <c r="R2865" i="1"/>
  <c r="Q2865" i="1"/>
  <c r="P2865" i="1"/>
  <c r="O2865" i="1"/>
  <c r="N2865" i="1"/>
  <c r="M2865" i="1"/>
  <c r="J2865" i="1"/>
  <c r="I2865" i="1"/>
  <c r="H2865" i="1"/>
  <c r="F2865" i="1"/>
  <c r="D2865" i="1"/>
  <c r="B2865" i="1"/>
  <c r="A2865" i="1"/>
  <c r="U2953" i="1"/>
  <c r="R2953" i="1"/>
  <c r="Q2953" i="1"/>
  <c r="P2953" i="1"/>
  <c r="O2953" i="1"/>
  <c r="N2953" i="1"/>
  <c r="M2953" i="1"/>
  <c r="J2953" i="1"/>
  <c r="I2953" i="1"/>
  <c r="H2953" i="1"/>
  <c r="F2953" i="1"/>
  <c r="D2953" i="1"/>
  <c r="B2953" i="1"/>
  <c r="A2953" i="1"/>
  <c r="U3158" i="1"/>
  <c r="R3158" i="1"/>
  <c r="Q3158" i="1"/>
  <c r="P3158" i="1"/>
  <c r="O3158" i="1"/>
  <c r="N3158" i="1"/>
  <c r="M3158" i="1"/>
  <c r="J3158" i="1"/>
  <c r="I3158" i="1"/>
  <c r="H3158" i="1"/>
  <c r="F3158" i="1"/>
  <c r="D3158" i="1"/>
  <c r="B3158" i="1"/>
  <c r="A3158" i="1"/>
  <c r="U3037" i="1"/>
  <c r="R3037" i="1"/>
  <c r="Q3037" i="1"/>
  <c r="P3037" i="1"/>
  <c r="O3037" i="1"/>
  <c r="N3037" i="1"/>
  <c r="M3037" i="1"/>
  <c r="J3037" i="1"/>
  <c r="I3037" i="1"/>
  <c r="H3037" i="1"/>
  <c r="F3037" i="1"/>
  <c r="D3037" i="1"/>
  <c r="B3037" i="1"/>
  <c r="A3037" i="1"/>
  <c r="U2925" i="1"/>
  <c r="R2925" i="1"/>
  <c r="Q2925" i="1"/>
  <c r="P2925" i="1"/>
  <c r="O2925" i="1"/>
  <c r="N2925" i="1"/>
  <c r="M2925" i="1"/>
  <c r="J2925" i="1"/>
  <c r="I2925" i="1"/>
  <c r="H2925" i="1"/>
  <c r="F2925" i="1"/>
  <c r="D2925" i="1"/>
  <c r="B2925" i="1"/>
  <c r="A2925" i="1"/>
  <c r="U2451" i="1"/>
  <c r="R2451" i="1"/>
  <c r="Q2451" i="1"/>
  <c r="P2451" i="1"/>
  <c r="O2451" i="1"/>
  <c r="N2451" i="1"/>
  <c r="M2451" i="1"/>
  <c r="J2451" i="1"/>
  <c r="I2451" i="1"/>
  <c r="H2451" i="1"/>
  <c r="F2451" i="1"/>
  <c r="E2451" i="1"/>
  <c r="D2451" i="1"/>
  <c r="B2451" i="1"/>
  <c r="A2451" i="1"/>
  <c r="U2496" i="1"/>
  <c r="R2496" i="1"/>
  <c r="Q2496" i="1"/>
  <c r="P2496" i="1"/>
  <c r="O2496" i="1"/>
  <c r="N2496" i="1"/>
  <c r="M2496" i="1"/>
  <c r="K2496" i="1"/>
  <c r="J2496" i="1"/>
  <c r="I2496" i="1"/>
  <c r="H2496" i="1"/>
  <c r="F2496" i="1"/>
  <c r="D2496" i="1"/>
  <c r="B2496" i="1"/>
  <c r="A2496" i="1"/>
  <c r="U3228" i="1"/>
  <c r="R3228" i="1"/>
  <c r="Q3228" i="1"/>
  <c r="P3228" i="1"/>
  <c r="O3228" i="1"/>
  <c r="N3228" i="1"/>
  <c r="M3228" i="1"/>
  <c r="K3228" i="1"/>
  <c r="J3228" i="1"/>
  <c r="I3228" i="1"/>
  <c r="H3228" i="1"/>
  <c r="F3228" i="1"/>
  <c r="D3228" i="1"/>
  <c r="B3228" i="1"/>
  <c r="A3228" i="1"/>
  <c r="U2864" i="1"/>
  <c r="R2864" i="1"/>
  <c r="Q2864" i="1"/>
  <c r="P2864" i="1"/>
  <c r="O2864" i="1"/>
  <c r="N2864" i="1"/>
  <c r="M2864" i="1"/>
  <c r="K2864" i="1"/>
  <c r="J2864" i="1"/>
  <c r="I2864" i="1"/>
  <c r="H2864" i="1"/>
  <c r="F2864" i="1"/>
  <c r="D2864" i="1"/>
  <c r="B2864" i="1"/>
  <c r="A2864" i="1"/>
  <c r="U86" i="1"/>
  <c r="R86" i="1"/>
  <c r="Q86" i="1"/>
  <c r="P86" i="1"/>
  <c r="O86" i="1"/>
  <c r="N86" i="1"/>
  <c r="M86" i="1"/>
  <c r="I86" i="1"/>
  <c r="H86" i="1"/>
  <c r="F86" i="1"/>
  <c r="D86" i="1"/>
  <c r="B86" i="1"/>
  <c r="A86" i="1"/>
  <c r="U45" i="1"/>
  <c r="R45" i="1"/>
  <c r="Q45" i="1"/>
  <c r="P45" i="1"/>
  <c r="O45" i="1"/>
  <c r="N45" i="1"/>
  <c r="M45" i="1"/>
  <c r="I45" i="1"/>
  <c r="H45" i="1"/>
  <c r="F45" i="1"/>
  <c r="D45" i="1"/>
  <c r="B45" i="1"/>
  <c r="A45" i="1"/>
  <c r="U104" i="1"/>
  <c r="R104" i="1"/>
  <c r="Q104" i="1"/>
  <c r="P104" i="1"/>
  <c r="O104" i="1"/>
  <c r="N104" i="1"/>
  <c r="M104" i="1"/>
  <c r="J104" i="1"/>
  <c r="I104" i="1"/>
  <c r="H104" i="1"/>
  <c r="F104" i="1"/>
  <c r="D104" i="1"/>
  <c r="B104" i="1"/>
  <c r="A104" i="1"/>
  <c r="U58" i="1"/>
  <c r="R58" i="1"/>
  <c r="Q58" i="1"/>
  <c r="P58" i="1"/>
  <c r="O58" i="1"/>
  <c r="N58" i="1"/>
  <c r="M58" i="1"/>
  <c r="J58" i="1"/>
  <c r="I58" i="1"/>
  <c r="H58" i="1"/>
  <c r="F58" i="1"/>
  <c r="D58" i="1"/>
  <c r="B58" i="1"/>
  <c r="A58" i="1"/>
  <c r="U119" i="1"/>
  <c r="R119" i="1"/>
  <c r="Q119" i="1"/>
  <c r="P119" i="1"/>
  <c r="O119" i="1"/>
  <c r="N119" i="1"/>
  <c r="M119" i="1"/>
  <c r="J119" i="1"/>
  <c r="I119" i="1"/>
  <c r="H119" i="1"/>
  <c r="F119" i="1"/>
  <c r="D119" i="1"/>
  <c r="B119" i="1"/>
  <c r="A119" i="1"/>
  <c r="U258" i="1"/>
  <c r="R258" i="1"/>
  <c r="Q258" i="1"/>
  <c r="P258" i="1"/>
  <c r="O258" i="1"/>
  <c r="N258" i="1"/>
  <c r="M258" i="1"/>
  <c r="I258" i="1"/>
  <c r="H258" i="1"/>
  <c r="F258" i="1"/>
  <c r="D258" i="1"/>
  <c r="B258" i="1"/>
  <c r="A258" i="1"/>
  <c r="U330" i="1"/>
  <c r="R330" i="1"/>
  <c r="Q330" i="1"/>
  <c r="P330" i="1"/>
  <c r="O330" i="1"/>
  <c r="N330" i="1"/>
  <c r="M330" i="1"/>
  <c r="J330" i="1"/>
  <c r="I330" i="1"/>
  <c r="H330" i="1"/>
  <c r="F330" i="1"/>
  <c r="D330" i="1"/>
  <c r="B330" i="1"/>
  <c r="A330" i="1"/>
  <c r="U429" i="1"/>
  <c r="R429" i="1"/>
  <c r="Q429" i="1"/>
  <c r="P429" i="1"/>
  <c r="O429" i="1"/>
  <c r="N429" i="1"/>
  <c r="M429" i="1"/>
  <c r="J429" i="1"/>
  <c r="I429" i="1"/>
  <c r="H429" i="1"/>
  <c r="F429" i="1"/>
  <c r="D429" i="1"/>
  <c r="B429" i="1"/>
  <c r="A429" i="1"/>
  <c r="U313" i="1"/>
  <c r="R313" i="1"/>
  <c r="Q313" i="1"/>
  <c r="P313" i="1"/>
  <c r="O313" i="1"/>
  <c r="N313" i="1"/>
  <c r="M313" i="1"/>
  <c r="I313" i="1"/>
  <c r="H313" i="1"/>
  <c r="F313" i="1"/>
  <c r="D313" i="1"/>
  <c r="B313" i="1"/>
  <c r="A313" i="1"/>
  <c r="U513" i="1"/>
  <c r="R513" i="1"/>
  <c r="Q513" i="1"/>
  <c r="P513" i="1"/>
  <c r="O513" i="1"/>
  <c r="N513" i="1"/>
  <c r="M513" i="1"/>
  <c r="I513" i="1"/>
  <c r="H513" i="1"/>
  <c r="F513" i="1"/>
  <c r="D513" i="1"/>
  <c r="B513" i="1"/>
  <c r="A513" i="1"/>
  <c r="U238" i="1"/>
  <c r="R238" i="1"/>
  <c r="Q238" i="1"/>
  <c r="P238" i="1"/>
  <c r="O238" i="1"/>
  <c r="N238" i="1"/>
  <c r="M238" i="1"/>
  <c r="J238" i="1"/>
  <c r="I238" i="1"/>
  <c r="H238" i="1"/>
  <c r="F238" i="1"/>
  <c r="D238" i="1"/>
  <c r="B238" i="1"/>
  <c r="A238" i="1"/>
  <c r="U561" i="1"/>
  <c r="R561" i="1"/>
  <c r="Q561" i="1"/>
  <c r="P561" i="1"/>
  <c r="O561" i="1"/>
  <c r="N561" i="1"/>
  <c r="M561" i="1"/>
  <c r="J561" i="1"/>
  <c r="I561" i="1"/>
  <c r="H561" i="1"/>
  <c r="F561" i="1"/>
  <c r="D561" i="1"/>
  <c r="B561" i="1"/>
  <c r="A561" i="1"/>
  <c r="U614" i="1"/>
  <c r="R614" i="1"/>
  <c r="Q614" i="1"/>
  <c r="P614" i="1"/>
  <c r="O614" i="1"/>
  <c r="N614" i="1"/>
  <c r="M614" i="1"/>
  <c r="J614" i="1"/>
  <c r="I614" i="1"/>
  <c r="H614" i="1"/>
  <c r="F614" i="1"/>
  <c r="E614" i="1"/>
  <c r="D614" i="1"/>
  <c r="B614" i="1"/>
  <c r="A614" i="1"/>
  <c r="U640" i="1"/>
  <c r="R640" i="1"/>
  <c r="Q640" i="1"/>
  <c r="P640" i="1"/>
  <c r="O640" i="1"/>
  <c r="N640" i="1"/>
  <c r="M640" i="1"/>
  <c r="J640" i="1"/>
  <c r="I640" i="1"/>
  <c r="H640" i="1"/>
  <c r="F640" i="1"/>
  <c r="D640" i="1"/>
  <c r="B640" i="1"/>
  <c r="A640" i="1"/>
  <c r="U560" i="1"/>
  <c r="R560" i="1"/>
  <c r="Q560" i="1"/>
  <c r="P560" i="1"/>
  <c r="O560" i="1"/>
  <c r="N560" i="1"/>
  <c r="M560" i="1"/>
  <c r="J560" i="1"/>
  <c r="I560" i="1"/>
  <c r="H560" i="1"/>
  <c r="F560" i="1"/>
  <c r="D560" i="1"/>
  <c r="B560" i="1"/>
  <c r="A560" i="1"/>
  <c r="U699" i="1"/>
  <c r="R699" i="1"/>
  <c r="Q699" i="1"/>
  <c r="P699" i="1"/>
  <c r="O699" i="1"/>
  <c r="N699" i="1"/>
  <c r="M699" i="1"/>
  <c r="J699" i="1"/>
  <c r="I699" i="1"/>
  <c r="H699" i="1"/>
  <c r="F699" i="1"/>
  <c r="E699" i="1"/>
  <c r="D699" i="1"/>
  <c r="B699" i="1"/>
  <c r="A699" i="1"/>
  <c r="U693" i="1"/>
  <c r="R693" i="1"/>
  <c r="Q693" i="1"/>
  <c r="P693" i="1"/>
  <c r="O693" i="1"/>
  <c r="N693" i="1"/>
  <c r="M693" i="1"/>
  <c r="I693" i="1"/>
  <c r="H693" i="1"/>
  <c r="F693" i="1"/>
  <c r="D693" i="1"/>
  <c r="B693" i="1"/>
  <c r="A693" i="1"/>
  <c r="U727" i="1"/>
  <c r="R727" i="1"/>
  <c r="Q727" i="1"/>
  <c r="P727" i="1"/>
  <c r="O727" i="1"/>
  <c r="N727" i="1"/>
  <c r="M727" i="1"/>
  <c r="J727" i="1"/>
  <c r="I727" i="1"/>
  <c r="H727" i="1"/>
  <c r="F727" i="1"/>
  <c r="D727" i="1"/>
  <c r="B727" i="1"/>
  <c r="A727" i="1"/>
  <c r="U838" i="1"/>
  <c r="R838" i="1"/>
  <c r="Q838" i="1"/>
  <c r="P838" i="1"/>
  <c r="O838" i="1"/>
  <c r="N838" i="1"/>
  <c r="M838" i="1"/>
  <c r="I838" i="1"/>
  <c r="H838" i="1"/>
  <c r="F838" i="1"/>
  <c r="D838" i="1"/>
  <c r="B838" i="1"/>
  <c r="A838" i="1"/>
  <c r="U732" i="1"/>
  <c r="R732" i="1"/>
  <c r="Q732" i="1"/>
  <c r="P732" i="1"/>
  <c r="O732" i="1"/>
  <c r="N732" i="1"/>
  <c r="M732" i="1"/>
  <c r="I732" i="1"/>
  <c r="H732" i="1"/>
  <c r="F732" i="1"/>
  <c r="D732" i="1"/>
  <c r="B732" i="1"/>
  <c r="A732" i="1"/>
  <c r="U851" i="1"/>
  <c r="R851" i="1"/>
  <c r="Q851" i="1"/>
  <c r="P851" i="1"/>
  <c r="O851" i="1"/>
  <c r="N851" i="1"/>
  <c r="M851" i="1"/>
  <c r="J851" i="1"/>
  <c r="I851" i="1"/>
  <c r="H851" i="1"/>
  <c r="F851" i="1"/>
  <c r="D851" i="1"/>
  <c r="A851" i="1"/>
  <c r="U1036" i="1"/>
  <c r="R1036" i="1"/>
  <c r="Q1036" i="1"/>
  <c r="P1036" i="1"/>
  <c r="O1036" i="1"/>
  <c r="N1036" i="1"/>
  <c r="M1036" i="1"/>
  <c r="J1036" i="1"/>
  <c r="I1036" i="1"/>
  <c r="H1036" i="1"/>
  <c r="F1036" i="1"/>
  <c r="D1036" i="1"/>
  <c r="B1036" i="1"/>
  <c r="A1036" i="1"/>
  <c r="U612" i="1"/>
  <c r="R612" i="1"/>
  <c r="Q612" i="1"/>
  <c r="P612" i="1"/>
  <c r="O612" i="1"/>
  <c r="N612" i="1"/>
  <c r="M612" i="1"/>
  <c r="J612" i="1"/>
  <c r="I612" i="1"/>
  <c r="H612" i="1"/>
  <c r="F612" i="1"/>
  <c r="D612" i="1"/>
  <c r="A612" i="1"/>
  <c r="U1024" i="1"/>
  <c r="R1024" i="1"/>
  <c r="Q1024" i="1"/>
  <c r="P1024" i="1"/>
  <c r="O1024" i="1"/>
  <c r="N1024" i="1"/>
  <c r="M1024" i="1"/>
  <c r="I1024" i="1"/>
  <c r="H1024" i="1"/>
  <c r="F1024" i="1"/>
  <c r="D1024" i="1"/>
  <c r="B1024" i="1"/>
  <c r="A1024" i="1"/>
  <c r="U1189" i="1"/>
  <c r="R1189" i="1"/>
  <c r="Q1189" i="1"/>
  <c r="P1189" i="1"/>
  <c r="O1189" i="1"/>
  <c r="N1189" i="1"/>
  <c r="M1189" i="1"/>
  <c r="J1189" i="1"/>
  <c r="I1189" i="1"/>
  <c r="H1189" i="1"/>
  <c r="F1189" i="1"/>
  <c r="D1189" i="1"/>
  <c r="A1189" i="1"/>
  <c r="U1322" i="1"/>
  <c r="R1322" i="1"/>
  <c r="Q1322" i="1"/>
  <c r="P1322" i="1"/>
  <c r="O1322" i="1"/>
  <c r="N1322" i="1"/>
  <c r="M1322" i="1"/>
  <c r="I1322" i="1"/>
  <c r="H1322" i="1"/>
  <c r="F1322" i="1"/>
  <c r="D1322" i="1"/>
  <c r="B1322" i="1"/>
  <c r="A1322" i="1"/>
  <c r="U1315" i="1"/>
  <c r="R1315" i="1"/>
  <c r="Q1315" i="1"/>
  <c r="P1315" i="1"/>
  <c r="O1315" i="1"/>
  <c r="N1315" i="1"/>
  <c r="M1315" i="1"/>
  <c r="J1315" i="1"/>
  <c r="I1315" i="1"/>
  <c r="H1315" i="1"/>
  <c r="F1315" i="1"/>
  <c r="D1315" i="1"/>
  <c r="B1315" i="1"/>
  <c r="A1315" i="1"/>
  <c r="U1386" i="1"/>
  <c r="R1386" i="1"/>
  <c r="Q1386" i="1"/>
  <c r="P1386" i="1"/>
  <c r="O1386" i="1"/>
  <c r="N1386" i="1"/>
  <c r="M1386" i="1"/>
  <c r="J1386" i="1"/>
  <c r="I1386" i="1"/>
  <c r="H1386" i="1"/>
  <c r="F1386" i="1"/>
  <c r="D1386" i="1"/>
  <c r="B1386" i="1"/>
  <c r="A1386" i="1"/>
  <c r="U1542" i="1"/>
  <c r="R1542" i="1"/>
  <c r="Q1542" i="1"/>
  <c r="P1542" i="1"/>
  <c r="O1542" i="1"/>
  <c r="N1542" i="1"/>
  <c r="M1542" i="1"/>
  <c r="J1542" i="1"/>
  <c r="I1542" i="1"/>
  <c r="H1542" i="1"/>
  <c r="F1542" i="1"/>
  <c r="D1542" i="1"/>
  <c r="B1542" i="1"/>
  <c r="A1542" i="1"/>
  <c r="U1131" i="1"/>
  <c r="R1131" i="1"/>
  <c r="Q1131" i="1"/>
  <c r="P1131" i="1"/>
  <c r="O1131" i="1"/>
  <c r="N1131" i="1"/>
  <c r="M1131" i="1"/>
  <c r="J1131" i="1"/>
  <c r="I1131" i="1"/>
  <c r="H1131" i="1"/>
  <c r="F1131" i="1"/>
  <c r="D1131" i="1"/>
  <c r="B1131" i="1"/>
  <c r="A1131" i="1"/>
  <c r="U1531" i="1"/>
  <c r="R1531" i="1"/>
  <c r="Q1531" i="1"/>
  <c r="P1531" i="1"/>
  <c r="O1531" i="1"/>
  <c r="N1531" i="1"/>
  <c r="M1531" i="1"/>
  <c r="J1531" i="1"/>
  <c r="I1531" i="1"/>
  <c r="H1531" i="1"/>
  <c r="F1531" i="1"/>
  <c r="D1531" i="1"/>
  <c r="B1531" i="1"/>
  <c r="A1531" i="1"/>
  <c r="U1666" i="1"/>
  <c r="R1666" i="1"/>
  <c r="Q1666" i="1"/>
  <c r="P1666" i="1"/>
  <c r="O1666" i="1"/>
  <c r="N1666" i="1"/>
  <c r="M1666" i="1"/>
  <c r="J1666" i="1"/>
  <c r="I1666" i="1"/>
  <c r="H1666" i="1"/>
  <c r="F1666" i="1"/>
  <c r="E1666" i="1"/>
  <c r="D1666" i="1"/>
  <c r="A1666" i="1"/>
  <c r="U1823" i="1"/>
  <c r="R1823" i="1"/>
  <c r="Q1823" i="1"/>
  <c r="P1823" i="1"/>
  <c r="O1823" i="1"/>
  <c r="N1823" i="1"/>
  <c r="M1823" i="1"/>
  <c r="K1823" i="1"/>
  <c r="J1823" i="1"/>
  <c r="I1823" i="1"/>
  <c r="H1823" i="1"/>
  <c r="F1823" i="1"/>
  <c r="E1823" i="1"/>
  <c r="D1823" i="1"/>
  <c r="A1823" i="1"/>
  <c r="U1847" i="1"/>
  <c r="R1847" i="1"/>
  <c r="Q1847" i="1"/>
  <c r="P1847" i="1"/>
  <c r="O1847" i="1"/>
  <c r="N1847" i="1"/>
  <c r="M1847" i="1"/>
  <c r="K1847" i="1"/>
  <c r="J1847" i="1"/>
  <c r="I1847" i="1"/>
  <c r="H1847" i="1"/>
  <c r="F1847" i="1"/>
  <c r="D1847" i="1"/>
  <c r="B1847" i="1"/>
  <c r="A1847" i="1"/>
  <c r="U1891" i="1"/>
  <c r="R1891" i="1"/>
  <c r="Q1891" i="1"/>
  <c r="P1891" i="1"/>
  <c r="O1891" i="1"/>
  <c r="N1891" i="1"/>
  <c r="M1891" i="1"/>
  <c r="J1891" i="1"/>
  <c r="I1891" i="1"/>
  <c r="H1891" i="1"/>
  <c r="F1891" i="1"/>
  <c r="D1891" i="1"/>
  <c r="B1891" i="1"/>
  <c r="A1891" i="1"/>
  <c r="U1896" i="1"/>
  <c r="R1896" i="1"/>
  <c r="Q1896" i="1"/>
  <c r="P1896" i="1"/>
  <c r="O1896" i="1"/>
  <c r="N1896" i="1"/>
  <c r="M1896" i="1"/>
  <c r="J1896" i="1"/>
  <c r="I1896" i="1"/>
  <c r="H1896" i="1"/>
  <c r="F1896" i="1"/>
  <c r="D1896" i="1"/>
  <c r="B1896" i="1"/>
  <c r="A1896" i="1"/>
  <c r="U1918" i="1"/>
  <c r="R1918" i="1"/>
  <c r="Q1918" i="1"/>
  <c r="P1918" i="1"/>
  <c r="O1918" i="1"/>
  <c r="N1918" i="1"/>
  <c r="M1918" i="1"/>
  <c r="J1918" i="1"/>
  <c r="I1918" i="1"/>
  <c r="H1918" i="1"/>
  <c r="F1918" i="1"/>
  <c r="D1918" i="1"/>
  <c r="B1918" i="1"/>
  <c r="A1918" i="1"/>
  <c r="U2143" i="1"/>
  <c r="R2143" i="1"/>
  <c r="Q2143" i="1"/>
  <c r="P2143" i="1"/>
  <c r="O2143" i="1"/>
  <c r="N2143" i="1"/>
  <c r="M2143" i="1"/>
  <c r="J2143" i="1"/>
  <c r="I2143" i="1"/>
  <c r="H2143" i="1"/>
  <c r="F2143" i="1"/>
  <c r="D2143" i="1"/>
  <c r="B2143" i="1"/>
  <c r="A2143" i="1"/>
  <c r="U2385" i="1"/>
  <c r="R2385" i="1"/>
  <c r="Q2385" i="1"/>
  <c r="P2385" i="1"/>
  <c r="O2385" i="1"/>
  <c r="N2385" i="1"/>
  <c r="M2385" i="1"/>
  <c r="K2385" i="1"/>
  <c r="J2385" i="1"/>
  <c r="I2385" i="1"/>
  <c r="H2385" i="1"/>
  <c r="G2385" i="1"/>
  <c r="F2385" i="1"/>
  <c r="D2385" i="1"/>
  <c r="B2385" i="1"/>
  <c r="A2385" i="1"/>
  <c r="U2538" i="1"/>
  <c r="R2538" i="1"/>
  <c r="Q2538" i="1"/>
  <c r="P2538" i="1"/>
  <c r="O2538" i="1"/>
  <c r="N2538" i="1"/>
  <c r="M2538" i="1"/>
  <c r="K2538" i="1"/>
  <c r="J2538" i="1"/>
  <c r="I2538" i="1"/>
  <c r="H2538" i="1"/>
  <c r="F2538" i="1"/>
  <c r="E2538" i="1"/>
  <c r="D2538" i="1"/>
  <c r="B2538" i="1"/>
  <c r="A2538" i="1"/>
  <c r="U2420" i="1"/>
  <c r="R2420" i="1"/>
  <c r="Q2420" i="1"/>
  <c r="P2420" i="1"/>
  <c r="O2420" i="1"/>
  <c r="N2420" i="1"/>
  <c r="M2420" i="1"/>
  <c r="K2420" i="1"/>
  <c r="J2420" i="1"/>
  <c r="I2420" i="1"/>
  <c r="H2420" i="1"/>
  <c r="F2420" i="1"/>
  <c r="D2420" i="1"/>
  <c r="A2420" i="1"/>
  <c r="U2419" i="1"/>
  <c r="R2419" i="1"/>
  <c r="Q2419" i="1"/>
  <c r="P2419" i="1"/>
  <c r="O2419" i="1"/>
  <c r="N2419" i="1"/>
  <c r="M2419" i="1"/>
  <c r="K2419" i="1"/>
  <c r="J2419" i="1"/>
  <c r="I2419" i="1"/>
  <c r="H2419" i="1"/>
  <c r="F2419" i="1"/>
  <c r="D2419" i="1"/>
  <c r="A2419" i="1"/>
  <c r="U2418" i="1"/>
  <c r="R2418" i="1"/>
  <c r="Q2418" i="1"/>
  <c r="P2418" i="1"/>
  <c r="O2418" i="1"/>
  <c r="N2418" i="1"/>
  <c r="M2418" i="1"/>
  <c r="K2418" i="1"/>
  <c r="J2418" i="1"/>
  <c r="I2418" i="1"/>
  <c r="H2418" i="1"/>
  <c r="F2418" i="1"/>
  <c r="E2418" i="1"/>
  <c r="D2418" i="1"/>
  <c r="A2418" i="1"/>
  <c r="U2571" i="1"/>
  <c r="R2571" i="1"/>
  <c r="Q2571" i="1"/>
  <c r="P2571" i="1"/>
  <c r="O2571" i="1"/>
  <c r="N2571" i="1"/>
  <c r="M2571" i="1"/>
  <c r="J2571" i="1"/>
  <c r="I2571" i="1"/>
  <c r="H2571" i="1"/>
  <c r="F2571" i="1"/>
  <c r="D2571" i="1"/>
  <c r="A2571" i="1"/>
  <c r="U2377" i="1"/>
  <c r="R2377" i="1"/>
  <c r="Q2377" i="1"/>
  <c r="P2377" i="1"/>
  <c r="O2377" i="1"/>
  <c r="N2377" i="1"/>
  <c r="M2377" i="1"/>
  <c r="J2377" i="1"/>
  <c r="I2377" i="1"/>
  <c r="H2377" i="1"/>
  <c r="G2377" i="1"/>
  <c r="F2377" i="1"/>
  <c r="D2377" i="1"/>
  <c r="B2377" i="1"/>
  <c r="A2377" i="1"/>
  <c r="U26" i="1"/>
  <c r="R26" i="1"/>
  <c r="Q26" i="1"/>
  <c r="P26" i="1"/>
  <c r="O26" i="1"/>
  <c r="N26" i="1"/>
  <c r="M26" i="1"/>
  <c r="I26" i="1"/>
  <c r="H26" i="1"/>
  <c r="F26" i="1"/>
  <c r="D26" i="1"/>
  <c r="B26" i="1"/>
  <c r="A26" i="1"/>
  <c r="U399" i="1"/>
  <c r="R399" i="1"/>
  <c r="Q399" i="1"/>
  <c r="P399" i="1"/>
  <c r="O399" i="1"/>
  <c r="N399" i="1"/>
  <c r="M399" i="1"/>
  <c r="J399" i="1"/>
  <c r="I399" i="1"/>
  <c r="H399" i="1"/>
  <c r="F399" i="1"/>
  <c r="D399" i="1"/>
  <c r="B399" i="1"/>
  <c r="A399" i="1"/>
  <c r="U351" i="1"/>
  <c r="R351" i="1"/>
  <c r="Q351" i="1"/>
  <c r="P351" i="1"/>
  <c r="O351" i="1"/>
  <c r="N351" i="1"/>
  <c r="M351" i="1"/>
  <c r="I351" i="1"/>
  <c r="H351" i="1"/>
  <c r="F351" i="1"/>
  <c r="D351" i="1"/>
  <c r="B351" i="1"/>
  <c r="A351" i="1"/>
  <c r="U291" i="1"/>
  <c r="R291" i="1"/>
  <c r="Q291" i="1"/>
  <c r="P291" i="1"/>
  <c r="O291" i="1"/>
  <c r="N291" i="1"/>
  <c r="M291" i="1"/>
  <c r="J291" i="1"/>
  <c r="I291" i="1"/>
  <c r="H291" i="1"/>
  <c r="G291" i="1"/>
  <c r="F291" i="1"/>
  <c r="E291" i="1"/>
  <c r="D291" i="1"/>
  <c r="B291" i="1"/>
  <c r="A291" i="1"/>
  <c r="U512" i="1"/>
  <c r="R512" i="1"/>
  <c r="Q512" i="1"/>
  <c r="P512" i="1"/>
  <c r="O512" i="1"/>
  <c r="N512" i="1"/>
  <c r="M512" i="1"/>
  <c r="J512" i="1"/>
  <c r="I512" i="1"/>
  <c r="H512" i="1"/>
  <c r="F512" i="1"/>
  <c r="D512" i="1"/>
  <c r="B512" i="1"/>
  <c r="A512" i="1"/>
  <c r="U705" i="1"/>
  <c r="R705" i="1"/>
  <c r="Q705" i="1"/>
  <c r="P705" i="1"/>
  <c r="O705" i="1"/>
  <c r="N705" i="1"/>
  <c r="M705" i="1"/>
  <c r="J705" i="1"/>
  <c r="I705" i="1"/>
  <c r="H705" i="1"/>
  <c r="F705" i="1"/>
  <c r="D705" i="1"/>
  <c r="B705" i="1"/>
  <c r="A705" i="1"/>
  <c r="U907" i="1"/>
  <c r="R907" i="1"/>
  <c r="Q907" i="1"/>
  <c r="P907" i="1"/>
  <c r="O907" i="1"/>
  <c r="N907" i="1"/>
  <c r="M907" i="1"/>
  <c r="J907" i="1"/>
  <c r="I907" i="1"/>
  <c r="H907" i="1"/>
  <c r="F907" i="1"/>
  <c r="D907" i="1"/>
  <c r="B907" i="1"/>
  <c r="A907" i="1"/>
  <c r="U1123" i="1"/>
  <c r="R1123" i="1"/>
  <c r="Q1123" i="1"/>
  <c r="P1123" i="1"/>
  <c r="O1123" i="1"/>
  <c r="N1123" i="1"/>
  <c r="M1123" i="1"/>
  <c r="J1123" i="1"/>
  <c r="I1123" i="1"/>
  <c r="H1123" i="1"/>
  <c r="F1123" i="1"/>
  <c r="D1123" i="1"/>
  <c r="B1123" i="1"/>
  <c r="A1123" i="1"/>
  <c r="U1233" i="1"/>
  <c r="R1233" i="1"/>
  <c r="Q1233" i="1"/>
  <c r="P1233" i="1"/>
  <c r="O1233" i="1"/>
  <c r="N1233" i="1"/>
  <c r="M1233" i="1"/>
  <c r="J1233" i="1"/>
  <c r="I1233" i="1"/>
  <c r="H1233" i="1"/>
  <c r="G1233" i="1"/>
  <c r="F1233" i="1"/>
  <c r="E1233" i="1"/>
  <c r="D1233" i="1"/>
  <c r="B1233" i="1"/>
  <c r="A1233" i="1"/>
  <c r="U1529" i="1"/>
  <c r="R1529" i="1"/>
  <c r="Q1529" i="1"/>
  <c r="P1529" i="1"/>
  <c r="O1529" i="1"/>
  <c r="N1529" i="1"/>
  <c r="M1529" i="1"/>
  <c r="K1529" i="1"/>
  <c r="J1529" i="1"/>
  <c r="I1529" i="1"/>
  <c r="H1529" i="1"/>
  <c r="F1529" i="1"/>
  <c r="D1529" i="1"/>
  <c r="B1529" i="1"/>
  <c r="A1529" i="1"/>
  <c r="U1408" i="1"/>
  <c r="R1408" i="1"/>
  <c r="Q1408" i="1"/>
  <c r="P1408" i="1"/>
  <c r="O1408" i="1"/>
  <c r="N1408" i="1"/>
  <c r="M1408" i="1"/>
  <c r="K1408" i="1"/>
  <c r="J1408" i="1"/>
  <c r="I1408" i="1"/>
  <c r="H1408" i="1"/>
  <c r="F1408" i="1"/>
  <c r="D1408" i="1"/>
  <c r="B1408" i="1"/>
  <c r="A1408" i="1"/>
  <c r="U1989" i="1"/>
  <c r="R1989" i="1"/>
  <c r="Q1989" i="1"/>
  <c r="P1989" i="1"/>
  <c r="O1989" i="1"/>
  <c r="N1989" i="1"/>
  <c r="M1989" i="1"/>
  <c r="K1989" i="1"/>
  <c r="J1989" i="1"/>
  <c r="I1989" i="1"/>
  <c r="H1989" i="1"/>
  <c r="F1989" i="1"/>
  <c r="D1989" i="1"/>
  <c r="B1989" i="1"/>
  <c r="A1989" i="1"/>
  <c r="U1794" i="1"/>
  <c r="R1794" i="1"/>
  <c r="Q1794" i="1"/>
  <c r="P1794" i="1"/>
  <c r="O1794" i="1"/>
  <c r="N1794" i="1"/>
  <c r="M1794" i="1"/>
  <c r="J1794" i="1"/>
  <c r="I1794" i="1"/>
  <c r="H1794" i="1"/>
  <c r="F1794" i="1"/>
  <c r="D1794" i="1"/>
  <c r="B1794" i="1"/>
  <c r="A1794" i="1"/>
  <c r="U1958" i="1"/>
  <c r="R1958" i="1"/>
  <c r="Q1958" i="1"/>
  <c r="P1958" i="1"/>
  <c r="O1958" i="1"/>
  <c r="N1958" i="1"/>
  <c r="M1958" i="1"/>
  <c r="K1958" i="1"/>
  <c r="J1958" i="1"/>
  <c r="I1958" i="1"/>
  <c r="H1958" i="1"/>
  <c r="F1958" i="1"/>
  <c r="D1958" i="1"/>
  <c r="B1958" i="1"/>
  <c r="A1958" i="1"/>
  <c r="U1965" i="1"/>
  <c r="R1965" i="1"/>
  <c r="Q1965" i="1"/>
  <c r="P1965" i="1"/>
  <c r="O1965" i="1"/>
  <c r="N1965" i="1"/>
  <c r="M1965" i="1"/>
  <c r="K1965" i="1"/>
  <c r="J1965" i="1"/>
  <c r="I1965" i="1"/>
  <c r="H1965" i="1"/>
  <c r="F1965" i="1"/>
  <c r="E1965" i="1"/>
  <c r="D1965" i="1"/>
  <c r="B1965" i="1"/>
  <c r="A1965" i="1"/>
  <c r="U1974" i="1"/>
  <c r="R1974" i="1"/>
  <c r="Q1974" i="1"/>
  <c r="P1974" i="1"/>
  <c r="O1974" i="1"/>
  <c r="N1974" i="1"/>
  <c r="M1974" i="1"/>
  <c r="J1974" i="1"/>
  <c r="I1974" i="1"/>
  <c r="H1974" i="1"/>
  <c r="F1974" i="1"/>
  <c r="D1974" i="1"/>
  <c r="B1974" i="1"/>
  <c r="A1974" i="1"/>
  <c r="U2067" i="1"/>
  <c r="R2067" i="1"/>
  <c r="Q2067" i="1"/>
  <c r="P2067" i="1"/>
  <c r="O2067" i="1"/>
  <c r="N2067" i="1"/>
  <c r="M2067" i="1"/>
  <c r="K2067" i="1"/>
  <c r="J2067" i="1"/>
  <c r="I2067" i="1"/>
  <c r="H2067" i="1"/>
  <c r="F2067" i="1"/>
  <c r="D2067" i="1"/>
  <c r="B2067" i="1"/>
  <c r="A2067" i="1"/>
  <c r="U2153" i="1"/>
  <c r="R2153" i="1"/>
  <c r="Q2153" i="1"/>
  <c r="P2153" i="1"/>
  <c r="O2153" i="1"/>
  <c r="N2153" i="1"/>
  <c r="M2153" i="1"/>
  <c r="K2153" i="1"/>
  <c r="J2153" i="1"/>
  <c r="I2153" i="1"/>
  <c r="H2153" i="1"/>
  <c r="F2153" i="1"/>
  <c r="E2153" i="1"/>
  <c r="D2153" i="1"/>
  <c r="B2153" i="1"/>
  <c r="A2153" i="1"/>
  <c r="U2339" i="1"/>
  <c r="R2339" i="1"/>
  <c r="Q2339" i="1"/>
  <c r="P2339" i="1"/>
  <c r="O2339" i="1"/>
  <c r="N2339" i="1"/>
  <c r="M2339" i="1"/>
  <c r="K2339" i="1"/>
  <c r="J2339" i="1"/>
  <c r="I2339" i="1"/>
  <c r="H2339" i="1"/>
  <c r="G2339" i="1"/>
  <c r="F2339" i="1"/>
  <c r="D2339" i="1"/>
  <c r="B2339" i="1"/>
  <c r="A2339" i="1"/>
  <c r="U2355" i="1"/>
  <c r="R2355" i="1"/>
  <c r="Q2355" i="1"/>
  <c r="P2355" i="1"/>
  <c r="O2355" i="1"/>
  <c r="N2355" i="1"/>
  <c r="M2355" i="1"/>
  <c r="J2355" i="1"/>
  <c r="I2355" i="1"/>
  <c r="H2355" i="1"/>
  <c r="F2355" i="1"/>
  <c r="D2355" i="1"/>
  <c r="B2355" i="1"/>
  <c r="A2355" i="1"/>
  <c r="U2194" i="1"/>
  <c r="R2194" i="1"/>
  <c r="Q2194" i="1"/>
  <c r="P2194" i="1"/>
  <c r="O2194" i="1"/>
  <c r="N2194" i="1"/>
  <c r="M2194" i="1"/>
  <c r="J2194" i="1"/>
  <c r="I2194" i="1"/>
  <c r="H2194" i="1"/>
  <c r="F2194" i="1"/>
  <c r="D2194" i="1"/>
  <c r="B2194" i="1"/>
  <c r="A2194" i="1"/>
  <c r="U2185" i="1"/>
  <c r="R2185" i="1"/>
  <c r="Q2185" i="1"/>
  <c r="P2185" i="1"/>
  <c r="O2185" i="1"/>
  <c r="N2185" i="1"/>
  <c r="M2185" i="1"/>
  <c r="K2185" i="1"/>
  <c r="J2185" i="1"/>
  <c r="I2185" i="1"/>
  <c r="H2185" i="1"/>
  <c r="F2185" i="1"/>
  <c r="E2185" i="1"/>
  <c r="D2185" i="1"/>
  <c r="B2185" i="1"/>
  <c r="A2185" i="1"/>
  <c r="U2242" i="1"/>
  <c r="R2242" i="1"/>
  <c r="Q2242" i="1"/>
  <c r="P2242" i="1"/>
  <c r="O2242" i="1"/>
  <c r="N2242" i="1"/>
  <c r="M2242" i="1"/>
  <c r="K2242" i="1"/>
  <c r="J2242" i="1"/>
  <c r="I2242" i="1"/>
  <c r="H2242" i="1"/>
  <c r="F2242" i="1"/>
  <c r="D2242" i="1"/>
  <c r="B2242" i="1"/>
  <c r="A2242" i="1"/>
  <c r="U2241" i="1"/>
  <c r="R2241" i="1"/>
  <c r="Q2241" i="1"/>
  <c r="P2241" i="1"/>
  <c r="O2241" i="1"/>
  <c r="N2241" i="1"/>
  <c r="M2241" i="1"/>
  <c r="K2241" i="1"/>
  <c r="J2241" i="1"/>
  <c r="I2241" i="1"/>
  <c r="H2241" i="1"/>
  <c r="F2241" i="1"/>
  <c r="E2241" i="1"/>
  <c r="D2241" i="1"/>
  <c r="A2241" i="1"/>
  <c r="U2240" i="1"/>
  <c r="R2240" i="1"/>
  <c r="Q2240" i="1"/>
  <c r="P2240" i="1"/>
  <c r="O2240" i="1"/>
  <c r="N2240" i="1"/>
  <c r="M2240" i="1"/>
  <c r="K2240" i="1"/>
  <c r="J2240" i="1"/>
  <c r="I2240" i="1"/>
  <c r="H2240" i="1"/>
  <c r="F2240" i="1"/>
  <c r="D2240" i="1"/>
  <c r="B2240" i="1"/>
  <c r="A2240" i="1"/>
  <c r="U2239" i="1"/>
  <c r="R2239" i="1"/>
  <c r="Q2239" i="1"/>
  <c r="P2239" i="1"/>
  <c r="O2239" i="1"/>
  <c r="N2239" i="1"/>
  <c r="M2239" i="1"/>
  <c r="K2239" i="1"/>
  <c r="J2239" i="1"/>
  <c r="I2239" i="1"/>
  <c r="H2239" i="1"/>
  <c r="F2239" i="1"/>
  <c r="D2239" i="1"/>
  <c r="B2239" i="1"/>
  <c r="A2239" i="1"/>
  <c r="U2238" i="1"/>
  <c r="R2238" i="1"/>
  <c r="Q2238" i="1"/>
  <c r="P2238" i="1"/>
  <c r="O2238" i="1"/>
  <c r="N2238" i="1"/>
  <c r="M2238" i="1"/>
  <c r="K2238" i="1"/>
  <c r="J2238" i="1"/>
  <c r="I2238" i="1"/>
  <c r="H2238" i="1"/>
  <c r="F2238" i="1"/>
  <c r="D2238" i="1"/>
  <c r="B2238" i="1"/>
  <c r="A2238" i="1"/>
  <c r="U2237" i="1"/>
  <c r="R2237" i="1"/>
  <c r="Q2237" i="1"/>
  <c r="P2237" i="1"/>
  <c r="O2237" i="1"/>
  <c r="N2237" i="1"/>
  <c r="M2237" i="1"/>
  <c r="J2237" i="1"/>
  <c r="I2237" i="1"/>
  <c r="H2237" i="1"/>
  <c r="F2237" i="1"/>
  <c r="D2237" i="1"/>
  <c r="B2237" i="1"/>
  <c r="A2237" i="1"/>
  <c r="U2265" i="1"/>
  <c r="R2265" i="1"/>
  <c r="Q2265" i="1"/>
  <c r="P2265" i="1"/>
  <c r="O2265" i="1"/>
  <c r="N2265" i="1"/>
  <c r="M2265" i="1"/>
  <c r="J2265" i="1"/>
  <c r="I2265" i="1"/>
  <c r="H2265" i="1"/>
  <c r="F2265" i="1"/>
  <c r="D2265" i="1"/>
  <c r="B2265" i="1"/>
  <c r="A2265" i="1"/>
  <c r="U2502" i="1"/>
  <c r="R2502" i="1"/>
  <c r="Q2502" i="1"/>
  <c r="P2502" i="1"/>
  <c r="O2502" i="1"/>
  <c r="N2502" i="1"/>
  <c r="M2502" i="1"/>
  <c r="J2502" i="1"/>
  <c r="I2502" i="1"/>
  <c r="H2502" i="1"/>
  <c r="F2502" i="1"/>
  <c r="E2502" i="1"/>
  <c r="D2502" i="1"/>
  <c r="B2502" i="1"/>
  <c r="A2502" i="1"/>
  <c r="U2476" i="1"/>
  <c r="R2476" i="1"/>
  <c r="Q2476" i="1"/>
  <c r="P2476" i="1"/>
  <c r="O2476" i="1"/>
  <c r="N2476" i="1"/>
  <c r="M2476" i="1"/>
  <c r="K2476" i="1"/>
  <c r="J2476" i="1"/>
  <c r="I2476" i="1"/>
  <c r="H2476" i="1"/>
  <c r="F2476" i="1"/>
  <c r="D2476" i="1"/>
  <c r="A2476" i="1"/>
  <c r="U2294" i="1"/>
  <c r="R2294" i="1"/>
  <c r="Q2294" i="1"/>
  <c r="P2294" i="1"/>
  <c r="O2294" i="1"/>
  <c r="N2294" i="1"/>
  <c r="M2294" i="1"/>
  <c r="K2294" i="1"/>
  <c r="J2294" i="1"/>
  <c r="I2294" i="1"/>
  <c r="H2294" i="1"/>
  <c r="F2294" i="1"/>
  <c r="D2294" i="1"/>
  <c r="A2294" i="1"/>
  <c r="U2048" i="1"/>
  <c r="R2048" i="1"/>
  <c r="Q2048" i="1"/>
  <c r="P2048" i="1"/>
  <c r="O2048" i="1"/>
  <c r="N2048" i="1"/>
  <c r="M2048" i="1"/>
  <c r="J2048" i="1"/>
  <c r="I2048" i="1"/>
  <c r="H2048" i="1"/>
  <c r="G2048" i="1"/>
  <c r="F2048" i="1"/>
  <c r="E2048" i="1"/>
  <c r="D2048" i="1"/>
  <c r="B2048" i="1"/>
  <c r="A2048" i="1"/>
  <c r="U2488" i="1"/>
  <c r="R2488" i="1"/>
  <c r="Q2488" i="1"/>
  <c r="P2488" i="1"/>
  <c r="O2488" i="1"/>
  <c r="N2488" i="1"/>
  <c r="M2488" i="1"/>
  <c r="J2488" i="1"/>
  <c r="I2488" i="1"/>
  <c r="H2488" i="1"/>
  <c r="G2488" i="1"/>
  <c r="F2488" i="1"/>
  <c r="E2488" i="1"/>
  <c r="D2488" i="1"/>
  <c r="A2488" i="1"/>
  <c r="U2244" i="1"/>
  <c r="R2244" i="1"/>
  <c r="Q2244" i="1"/>
  <c r="P2244" i="1"/>
  <c r="O2244" i="1"/>
  <c r="N2244" i="1"/>
  <c r="M2244" i="1"/>
  <c r="K2244" i="1"/>
  <c r="J2244" i="1"/>
  <c r="I2244" i="1"/>
  <c r="H2244" i="1"/>
  <c r="G2244" i="1"/>
  <c r="F2244" i="1"/>
  <c r="E2244" i="1"/>
  <c r="D2244" i="1"/>
  <c r="B2244" i="1"/>
  <c r="A2244" i="1"/>
  <c r="U2646" i="1"/>
  <c r="R2646" i="1"/>
  <c r="Q2646" i="1"/>
  <c r="P2646" i="1"/>
  <c r="O2646" i="1"/>
  <c r="N2646" i="1"/>
  <c r="M2646" i="1"/>
  <c r="J2646" i="1"/>
  <c r="I2646" i="1"/>
  <c r="H2646" i="1"/>
  <c r="F2646" i="1"/>
  <c r="D2646" i="1"/>
  <c r="A2646" i="1"/>
  <c r="U2116" i="1"/>
  <c r="R2116" i="1"/>
  <c r="Q2116" i="1"/>
  <c r="P2116" i="1"/>
  <c r="O2116" i="1"/>
  <c r="N2116" i="1"/>
  <c r="M2116" i="1"/>
  <c r="K2116" i="1"/>
  <c r="J2116" i="1"/>
  <c r="I2116" i="1"/>
  <c r="H2116" i="1"/>
  <c r="G2116" i="1"/>
  <c r="F2116" i="1"/>
  <c r="D2116" i="1"/>
  <c r="A2116" i="1"/>
  <c r="U248" i="1"/>
  <c r="R248" i="1"/>
  <c r="Q248" i="1"/>
  <c r="P248" i="1"/>
  <c r="O248" i="1"/>
  <c r="N248" i="1"/>
  <c r="M248" i="1"/>
  <c r="I248" i="1"/>
  <c r="H248" i="1"/>
  <c r="G248" i="1"/>
  <c r="F248" i="1"/>
  <c r="D248" i="1"/>
  <c r="B248" i="1"/>
  <c r="A248" i="1"/>
  <c r="U1456" i="1"/>
  <c r="R1456" i="1"/>
  <c r="Q1456" i="1"/>
  <c r="P1456" i="1"/>
  <c r="O1456" i="1"/>
  <c r="N1456" i="1"/>
  <c r="M1456" i="1"/>
  <c r="J1456" i="1"/>
  <c r="I1456" i="1"/>
  <c r="H1456" i="1"/>
  <c r="G1456" i="1"/>
  <c r="F1456" i="1"/>
  <c r="E1456" i="1"/>
  <c r="D1456" i="1"/>
  <c r="A1456" i="1"/>
  <c r="U2591" i="1"/>
  <c r="R2591" i="1"/>
  <c r="Q2591" i="1"/>
  <c r="P2591" i="1"/>
  <c r="O2591" i="1"/>
  <c r="N2591" i="1"/>
  <c r="M2591" i="1"/>
  <c r="J2591" i="1"/>
  <c r="I2591" i="1"/>
  <c r="H2591" i="1"/>
  <c r="G2591" i="1"/>
  <c r="F2591" i="1"/>
  <c r="E2591" i="1"/>
  <c r="D2591" i="1"/>
  <c r="B2591" i="1"/>
  <c r="A2591" i="1"/>
  <c r="U2195" i="1"/>
  <c r="R2195" i="1"/>
  <c r="Q2195" i="1"/>
  <c r="P2195" i="1"/>
  <c r="O2195" i="1"/>
  <c r="N2195" i="1"/>
  <c r="M2195" i="1"/>
  <c r="K2195" i="1"/>
  <c r="J2195" i="1"/>
  <c r="I2195" i="1"/>
  <c r="H2195" i="1"/>
  <c r="G2195" i="1"/>
  <c r="F2195" i="1"/>
  <c r="E2195" i="1"/>
  <c r="D2195" i="1"/>
  <c r="B2195" i="1"/>
  <c r="A2195" i="1"/>
  <c r="U53" i="1"/>
  <c r="R53" i="1"/>
  <c r="Q53" i="1"/>
  <c r="P53" i="1"/>
  <c r="O53" i="1"/>
  <c r="N53" i="1"/>
  <c r="M53" i="1"/>
  <c r="J53" i="1"/>
  <c r="I53" i="1"/>
  <c r="H53" i="1"/>
  <c r="F53" i="1"/>
  <c r="D53" i="1"/>
  <c r="B53" i="1"/>
  <c r="A53" i="1"/>
  <c r="U168" i="1"/>
  <c r="R168" i="1"/>
  <c r="Q168" i="1"/>
  <c r="P168" i="1"/>
  <c r="O168" i="1"/>
  <c r="N168" i="1"/>
  <c r="M168" i="1"/>
  <c r="J168" i="1"/>
  <c r="I168" i="1"/>
  <c r="H168" i="1"/>
  <c r="F168" i="1"/>
  <c r="D168" i="1"/>
  <c r="B168" i="1"/>
  <c r="A168" i="1"/>
  <c r="U268" i="1"/>
  <c r="R268" i="1"/>
  <c r="Q268" i="1"/>
  <c r="P268" i="1"/>
  <c r="O268" i="1"/>
  <c r="N268" i="1"/>
  <c r="M268" i="1"/>
  <c r="J268" i="1"/>
  <c r="I268" i="1"/>
  <c r="H268" i="1"/>
  <c r="F268" i="1"/>
  <c r="D268" i="1"/>
  <c r="B268" i="1"/>
  <c r="A268" i="1"/>
  <c r="U666" i="1"/>
  <c r="R666" i="1"/>
  <c r="Q666" i="1"/>
  <c r="P666" i="1"/>
  <c r="O666" i="1"/>
  <c r="N666" i="1"/>
  <c r="M666" i="1"/>
  <c r="I666" i="1"/>
  <c r="H666" i="1"/>
  <c r="G666" i="1"/>
  <c r="F666" i="1"/>
  <c r="D666" i="1"/>
  <c r="A666" i="1"/>
  <c r="U580" i="1"/>
  <c r="R580" i="1"/>
  <c r="Q580" i="1"/>
  <c r="P580" i="1"/>
  <c r="O580" i="1"/>
  <c r="N580" i="1"/>
  <c r="M580" i="1"/>
  <c r="I580" i="1"/>
  <c r="H580" i="1"/>
  <c r="F580" i="1"/>
  <c r="D580" i="1"/>
  <c r="B580" i="1"/>
  <c r="A580" i="1"/>
  <c r="U926" i="1"/>
  <c r="R926" i="1"/>
  <c r="Q926" i="1"/>
  <c r="P926" i="1"/>
  <c r="O926" i="1"/>
  <c r="N926" i="1"/>
  <c r="M926" i="1"/>
  <c r="J926" i="1"/>
  <c r="I926" i="1"/>
  <c r="H926" i="1"/>
  <c r="F926" i="1"/>
  <c r="D926" i="1"/>
  <c r="B926" i="1"/>
  <c r="A926" i="1"/>
  <c r="U1038" i="1"/>
  <c r="R1038" i="1"/>
  <c r="Q1038" i="1"/>
  <c r="P1038" i="1"/>
  <c r="O1038" i="1"/>
  <c r="N1038" i="1"/>
  <c r="M1038" i="1"/>
  <c r="I1038" i="1"/>
  <c r="H1038" i="1"/>
  <c r="F1038" i="1"/>
  <c r="D1038" i="1"/>
  <c r="B1038" i="1"/>
  <c r="A1038" i="1"/>
  <c r="U1199" i="1"/>
  <c r="R1199" i="1"/>
  <c r="Q1199" i="1"/>
  <c r="P1199" i="1"/>
  <c r="O1199" i="1"/>
  <c r="N1199" i="1"/>
  <c r="M1199" i="1"/>
  <c r="J1199" i="1"/>
  <c r="I1199" i="1"/>
  <c r="H1199" i="1"/>
  <c r="F1199" i="1"/>
  <c r="D1199" i="1"/>
  <c r="B1199" i="1"/>
  <c r="A1199" i="1"/>
  <c r="U266" i="1"/>
  <c r="R266" i="1"/>
  <c r="Q266" i="1"/>
  <c r="P266" i="1"/>
  <c r="O266" i="1"/>
  <c r="N266" i="1"/>
  <c r="M266" i="1"/>
  <c r="K266" i="1"/>
  <c r="J266" i="1"/>
  <c r="I266" i="1"/>
  <c r="H266" i="1"/>
  <c r="F266" i="1"/>
  <c r="D266" i="1"/>
  <c r="A266" i="1"/>
  <c r="U1292" i="1"/>
  <c r="R1292" i="1"/>
  <c r="Q1292" i="1"/>
  <c r="P1292" i="1"/>
  <c r="O1292" i="1"/>
  <c r="N1292" i="1"/>
  <c r="M1292" i="1"/>
  <c r="I1292" i="1"/>
  <c r="H1292" i="1"/>
  <c r="F1292" i="1"/>
  <c r="E1292" i="1"/>
  <c r="D1292" i="1"/>
  <c r="A1292" i="1"/>
  <c r="U1495" i="1"/>
  <c r="R1495" i="1"/>
  <c r="Q1495" i="1"/>
  <c r="P1495" i="1"/>
  <c r="O1495" i="1"/>
  <c r="N1495" i="1"/>
  <c r="M1495" i="1"/>
  <c r="I1495" i="1"/>
  <c r="H1495" i="1"/>
  <c r="F1495" i="1"/>
  <c r="E1495" i="1"/>
  <c r="D1495" i="1"/>
  <c r="B1495" i="1"/>
  <c r="A1495" i="1"/>
  <c r="U1748" i="1"/>
  <c r="R1748" i="1"/>
  <c r="Q1748" i="1"/>
  <c r="P1748" i="1"/>
  <c r="O1748" i="1"/>
  <c r="N1748" i="1"/>
  <c r="M1748" i="1"/>
  <c r="J1748" i="1"/>
  <c r="I1748" i="1"/>
  <c r="H1748" i="1"/>
  <c r="F1748" i="1"/>
  <c r="D1748" i="1"/>
  <c r="B1748" i="1"/>
  <c r="A1748" i="1"/>
  <c r="U2469" i="1"/>
  <c r="R2469" i="1"/>
  <c r="Q2469" i="1"/>
  <c r="P2469" i="1"/>
  <c r="O2469" i="1"/>
  <c r="N2469" i="1"/>
  <c r="M2469" i="1"/>
  <c r="K2469" i="1"/>
  <c r="J2469" i="1"/>
  <c r="I2469" i="1"/>
  <c r="H2469" i="1"/>
  <c r="F2469" i="1"/>
  <c r="D2469" i="1"/>
  <c r="B2469" i="1"/>
  <c r="A2469" i="1"/>
  <c r="U2089" i="1"/>
  <c r="R2089" i="1"/>
  <c r="Q2089" i="1"/>
  <c r="P2089" i="1"/>
  <c r="O2089" i="1"/>
  <c r="N2089" i="1"/>
  <c r="M2089" i="1"/>
  <c r="K2089" i="1"/>
  <c r="J2089" i="1"/>
  <c r="I2089" i="1"/>
  <c r="H2089" i="1"/>
  <c r="F2089" i="1"/>
  <c r="D2089" i="1"/>
  <c r="B2089" i="1"/>
  <c r="A2089" i="1"/>
  <c r="U2104" i="1"/>
  <c r="R2104" i="1"/>
  <c r="Q2104" i="1"/>
  <c r="P2104" i="1"/>
  <c r="O2104" i="1"/>
  <c r="N2104" i="1"/>
  <c r="M2104" i="1"/>
  <c r="J2104" i="1"/>
  <c r="I2104" i="1"/>
  <c r="H2104" i="1"/>
  <c r="G2104" i="1"/>
  <c r="F2104" i="1"/>
  <c r="D2104" i="1"/>
  <c r="B2104" i="1"/>
  <c r="A2104" i="1"/>
  <c r="U2141" i="1"/>
  <c r="R2141" i="1"/>
  <c r="Q2141" i="1"/>
  <c r="P2141" i="1"/>
  <c r="O2141" i="1"/>
  <c r="N2141" i="1"/>
  <c r="M2141" i="1"/>
  <c r="J2141" i="1"/>
  <c r="I2141" i="1"/>
  <c r="H2141" i="1"/>
  <c r="F2141" i="1"/>
  <c r="D2141" i="1"/>
  <c r="B2141" i="1"/>
  <c r="A2141" i="1"/>
  <c r="U2198" i="1"/>
  <c r="R2198" i="1"/>
  <c r="Q2198" i="1"/>
  <c r="P2198" i="1"/>
  <c r="O2198" i="1"/>
  <c r="N2198" i="1"/>
  <c r="M2198" i="1"/>
  <c r="J2198" i="1"/>
  <c r="I2198" i="1"/>
  <c r="H2198" i="1"/>
  <c r="F2198" i="1"/>
  <c r="D2198" i="1"/>
  <c r="B2198" i="1"/>
  <c r="A2198" i="1"/>
  <c r="U2207" i="1"/>
  <c r="R2207" i="1"/>
  <c r="Q2207" i="1"/>
  <c r="P2207" i="1"/>
  <c r="O2207" i="1"/>
  <c r="N2207" i="1"/>
  <c r="M2207" i="1"/>
  <c r="J2207" i="1"/>
  <c r="I2207" i="1"/>
  <c r="H2207" i="1"/>
  <c r="F2207" i="1"/>
  <c r="D2207" i="1"/>
  <c r="B2207" i="1"/>
  <c r="A2207" i="1"/>
  <c r="U2370" i="1"/>
  <c r="R2370" i="1"/>
  <c r="Q2370" i="1"/>
  <c r="P2370" i="1"/>
  <c r="O2370" i="1"/>
  <c r="N2370" i="1"/>
  <c r="M2370" i="1"/>
  <c r="K2370" i="1"/>
  <c r="J2370" i="1"/>
  <c r="I2370" i="1"/>
  <c r="H2370" i="1"/>
  <c r="F2370" i="1"/>
  <c r="D2370" i="1"/>
  <c r="B2370" i="1"/>
  <c r="A2370" i="1"/>
  <c r="U2363" i="1"/>
  <c r="R2363" i="1"/>
  <c r="Q2363" i="1"/>
  <c r="P2363" i="1"/>
  <c r="O2363" i="1"/>
  <c r="N2363" i="1"/>
  <c r="M2363" i="1"/>
  <c r="J2363" i="1"/>
  <c r="I2363" i="1"/>
  <c r="H2363" i="1"/>
  <c r="F2363" i="1"/>
  <c r="D2363" i="1"/>
  <c r="B2363" i="1"/>
  <c r="A2363" i="1"/>
  <c r="U2353" i="1"/>
  <c r="R2353" i="1"/>
  <c r="Q2353" i="1"/>
  <c r="P2353" i="1"/>
  <c r="O2353" i="1"/>
  <c r="N2353" i="1"/>
  <c r="M2353" i="1"/>
  <c r="K2353" i="1"/>
  <c r="J2353" i="1"/>
  <c r="I2353" i="1"/>
  <c r="H2353" i="1"/>
  <c r="F2353" i="1"/>
  <c r="D2353" i="1"/>
  <c r="B2353" i="1"/>
  <c r="A2353" i="1"/>
  <c r="U2267" i="1"/>
  <c r="R2267" i="1"/>
  <c r="Q2267" i="1"/>
  <c r="P2267" i="1"/>
  <c r="O2267" i="1"/>
  <c r="N2267" i="1"/>
  <c r="M2267" i="1"/>
  <c r="K2267" i="1"/>
  <c r="J2267" i="1"/>
  <c r="I2267" i="1"/>
  <c r="H2267" i="1"/>
  <c r="F2267" i="1"/>
  <c r="D2267" i="1"/>
  <c r="B2267" i="1"/>
  <c r="A2267" i="1"/>
  <c r="U2271" i="1"/>
  <c r="R2271" i="1"/>
  <c r="Q2271" i="1"/>
  <c r="P2271" i="1"/>
  <c r="O2271" i="1"/>
  <c r="N2271" i="1"/>
  <c r="M2271" i="1"/>
  <c r="J2271" i="1"/>
  <c r="I2271" i="1"/>
  <c r="H2271" i="1"/>
  <c r="F2271" i="1"/>
  <c r="D2271" i="1"/>
  <c r="B2271" i="1"/>
  <c r="A2271" i="1"/>
  <c r="U2395" i="1"/>
  <c r="R2395" i="1"/>
  <c r="Q2395" i="1"/>
  <c r="P2395" i="1"/>
  <c r="O2395" i="1"/>
  <c r="N2395" i="1"/>
  <c r="M2395" i="1"/>
  <c r="K2395" i="1"/>
  <c r="J2395" i="1"/>
  <c r="I2395" i="1"/>
  <c r="H2395" i="1"/>
  <c r="F2395" i="1"/>
  <c r="D2395" i="1"/>
  <c r="B2395" i="1"/>
  <c r="A2395" i="1"/>
  <c r="U2287" i="1"/>
  <c r="R2287" i="1"/>
  <c r="Q2287" i="1"/>
  <c r="P2287" i="1"/>
  <c r="O2287" i="1"/>
  <c r="N2287" i="1"/>
  <c r="M2287" i="1"/>
  <c r="J2287" i="1"/>
  <c r="I2287" i="1"/>
  <c r="H2287" i="1"/>
  <c r="F2287" i="1"/>
  <c r="D2287" i="1"/>
  <c r="B2287" i="1"/>
  <c r="A2287" i="1"/>
  <c r="U2484" i="1"/>
  <c r="R2484" i="1"/>
  <c r="Q2484" i="1"/>
  <c r="P2484" i="1"/>
  <c r="O2484" i="1"/>
  <c r="N2484" i="1"/>
  <c r="M2484" i="1"/>
  <c r="K2484" i="1"/>
  <c r="J2484" i="1"/>
  <c r="I2484" i="1"/>
  <c r="H2484" i="1"/>
  <c r="F2484" i="1"/>
  <c r="D2484" i="1"/>
  <c r="B2484" i="1"/>
  <c r="A2484" i="1"/>
  <c r="U2588" i="1"/>
  <c r="R2588" i="1"/>
  <c r="Q2588" i="1"/>
  <c r="P2588" i="1"/>
  <c r="O2588" i="1"/>
  <c r="N2588" i="1"/>
  <c r="M2588" i="1"/>
  <c r="K2588" i="1"/>
  <c r="J2588" i="1"/>
  <c r="I2588" i="1"/>
  <c r="H2588" i="1"/>
  <c r="F2588" i="1"/>
  <c r="D2588" i="1"/>
  <c r="A2588" i="1"/>
  <c r="U2665" i="1"/>
  <c r="R2665" i="1"/>
  <c r="Q2665" i="1"/>
  <c r="P2665" i="1"/>
  <c r="O2665" i="1"/>
  <c r="N2665" i="1"/>
  <c r="M2665" i="1"/>
  <c r="J2665" i="1"/>
  <c r="I2665" i="1"/>
  <c r="H2665" i="1"/>
  <c r="F2665" i="1"/>
  <c r="D2665" i="1"/>
  <c r="B2665" i="1"/>
  <c r="A2665" i="1"/>
  <c r="U2592" i="1"/>
  <c r="R2592" i="1"/>
  <c r="Q2592" i="1"/>
  <c r="P2592" i="1"/>
  <c r="O2592" i="1"/>
  <c r="N2592" i="1"/>
  <c r="M2592" i="1"/>
  <c r="J2592" i="1"/>
  <c r="I2592" i="1"/>
  <c r="H2592" i="1"/>
  <c r="F2592" i="1"/>
  <c r="D2592" i="1"/>
  <c r="B2592" i="1"/>
  <c r="A2592" i="1"/>
  <c r="U2724" i="1"/>
  <c r="R2724" i="1"/>
  <c r="Q2724" i="1"/>
  <c r="P2724" i="1"/>
  <c r="O2724" i="1"/>
  <c r="N2724" i="1"/>
  <c r="M2724" i="1"/>
  <c r="K2724" i="1"/>
  <c r="J2724" i="1"/>
  <c r="I2724" i="1"/>
  <c r="H2724" i="1"/>
  <c r="F2724" i="1"/>
  <c r="D2724" i="1"/>
  <c r="B2724" i="1"/>
  <c r="A2724" i="1"/>
  <c r="U2917" i="1"/>
  <c r="R2917" i="1"/>
  <c r="Q2917" i="1"/>
  <c r="P2917" i="1"/>
  <c r="O2917" i="1"/>
  <c r="N2917" i="1"/>
  <c r="M2917" i="1"/>
  <c r="J2917" i="1"/>
  <c r="I2917" i="1"/>
  <c r="H2917" i="1"/>
  <c r="F2917" i="1"/>
  <c r="D2917" i="1"/>
  <c r="B2917" i="1"/>
  <c r="A2917" i="1"/>
  <c r="U2863" i="1"/>
  <c r="R2863" i="1"/>
  <c r="Q2863" i="1"/>
  <c r="P2863" i="1"/>
  <c r="O2863" i="1"/>
  <c r="N2863" i="1"/>
  <c r="M2863" i="1"/>
  <c r="J2863" i="1"/>
  <c r="I2863" i="1"/>
  <c r="H2863" i="1"/>
  <c r="F2863" i="1"/>
  <c r="D2863" i="1"/>
  <c r="B2863" i="1"/>
  <c r="A2863" i="1"/>
  <c r="U2634" i="1"/>
  <c r="R2634" i="1"/>
  <c r="Q2634" i="1"/>
  <c r="P2634" i="1"/>
  <c r="O2634" i="1"/>
  <c r="N2634" i="1"/>
  <c r="M2634" i="1"/>
  <c r="J2634" i="1"/>
  <c r="I2634" i="1"/>
  <c r="H2634" i="1"/>
  <c r="F2634" i="1"/>
  <c r="D2634" i="1"/>
  <c r="B2634" i="1"/>
  <c r="A2634" i="1"/>
  <c r="U2732" i="1"/>
  <c r="R2732" i="1"/>
  <c r="Q2732" i="1"/>
  <c r="P2732" i="1"/>
  <c r="O2732" i="1"/>
  <c r="N2732" i="1"/>
  <c r="M2732" i="1"/>
  <c r="J2732" i="1"/>
  <c r="I2732" i="1"/>
  <c r="H2732" i="1"/>
  <c r="F2732" i="1"/>
  <c r="D2732" i="1"/>
  <c r="B2732" i="1"/>
  <c r="A2732" i="1"/>
  <c r="U2759" i="1"/>
  <c r="R2759" i="1"/>
  <c r="Q2759" i="1"/>
  <c r="P2759" i="1"/>
  <c r="O2759" i="1"/>
  <c r="N2759" i="1"/>
  <c r="M2759" i="1"/>
  <c r="J2759" i="1"/>
  <c r="I2759" i="1"/>
  <c r="H2759" i="1"/>
  <c r="F2759" i="1"/>
  <c r="D2759" i="1"/>
  <c r="B2759" i="1"/>
  <c r="A2759" i="1"/>
  <c r="U2734" i="1"/>
  <c r="R2734" i="1"/>
  <c r="Q2734" i="1"/>
  <c r="P2734" i="1"/>
  <c r="O2734" i="1"/>
  <c r="N2734" i="1"/>
  <c r="M2734" i="1"/>
  <c r="J2734" i="1"/>
  <c r="I2734" i="1"/>
  <c r="H2734" i="1"/>
  <c r="F2734" i="1"/>
  <c r="D2734" i="1"/>
  <c r="B2734" i="1"/>
  <c r="A2734" i="1"/>
  <c r="U3015" i="1"/>
  <c r="R3015" i="1"/>
  <c r="Q3015" i="1"/>
  <c r="P3015" i="1"/>
  <c r="O3015" i="1"/>
  <c r="N3015" i="1"/>
  <c r="M3015" i="1"/>
  <c r="K3015" i="1"/>
  <c r="J3015" i="1"/>
  <c r="I3015" i="1"/>
  <c r="H3015" i="1"/>
  <c r="F3015" i="1"/>
  <c r="D3015" i="1"/>
  <c r="B3015" i="1"/>
  <c r="A3015" i="1"/>
  <c r="U2723" i="1"/>
  <c r="R2723" i="1"/>
  <c r="Q2723" i="1"/>
  <c r="P2723" i="1"/>
  <c r="O2723" i="1"/>
  <c r="N2723" i="1"/>
  <c r="M2723" i="1"/>
  <c r="J2723" i="1"/>
  <c r="I2723" i="1"/>
  <c r="H2723" i="1"/>
  <c r="F2723" i="1"/>
  <c r="D2723" i="1"/>
  <c r="B2723" i="1"/>
  <c r="A2723" i="1"/>
  <c r="U2722" i="1"/>
  <c r="R2722" i="1"/>
  <c r="Q2722" i="1"/>
  <c r="P2722" i="1"/>
  <c r="O2722" i="1"/>
  <c r="N2722" i="1"/>
  <c r="M2722" i="1"/>
  <c r="J2722" i="1"/>
  <c r="I2722" i="1"/>
  <c r="H2722" i="1"/>
  <c r="F2722" i="1"/>
  <c r="D2722" i="1"/>
  <c r="B2722" i="1"/>
  <c r="A2722" i="1"/>
  <c r="U2721" i="1"/>
  <c r="R2721" i="1"/>
  <c r="Q2721" i="1"/>
  <c r="P2721" i="1"/>
  <c r="O2721" i="1"/>
  <c r="N2721" i="1"/>
  <c r="M2721" i="1"/>
  <c r="J2721" i="1"/>
  <c r="I2721" i="1"/>
  <c r="H2721" i="1"/>
  <c r="F2721" i="1"/>
  <c r="D2721" i="1"/>
  <c r="B2721" i="1"/>
  <c r="A2721" i="1"/>
  <c r="U2720" i="1"/>
  <c r="R2720" i="1"/>
  <c r="Q2720" i="1"/>
  <c r="P2720" i="1"/>
  <c r="O2720" i="1"/>
  <c r="N2720" i="1"/>
  <c r="M2720" i="1"/>
  <c r="K2720" i="1"/>
  <c r="J2720" i="1"/>
  <c r="I2720" i="1"/>
  <c r="H2720" i="1"/>
  <c r="F2720" i="1"/>
  <c r="D2720" i="1"/>
  <c r="B2720" i="1"/>
  <c r="A2720" i="1"/>
  <c r="U2719" i="1"/>
  <c r="R2719" i="1"/>
  <c r="Q2719" i="1"/>
  <c r="P2719" i="1"/>
  <c r="O2719" i="1"/>
  <c r="N2719" i="1"/>
  <c r="M2719" i="1"/>
  <c r="K2719" i="1"/>
  <c r="J2719" i="1"/>
  <c r="I2719" i="1"/>
  <c r="H2719" i="1"/>
  <c r="F2719" i="1"/>
  <c r="D2719" i="1"/>
  <c r="B2719" i="1"/>
  <c r="A2719" i="1"/>
  <c r="U2718" i="1"/>
  <c r="R2718" i="1"/>
  <c r="Q2718" i="1"/>
  <c r="P2718" i="1"/>
  <c r="O2718" i="1"/>
  <c r="N2718" i="1"/>
  <c r="M2718" i="1"/>
  <c r="K2718" i="1"/>
  <c r="J2718" i="1"/>
  <c r="I2718" i="1"/>
  <c r="H2718" i="1"/>
  <c r="F2718" i="1"/>
  <c r="D2718" i="1"/>
  <c r="B2718" i="1"/>
  <c r="A2718" i="1"/>
  <c r="U2406" i="1"/>
  <c r="R2406" i="1"/>
  <c r="Q2406" i="1"/>
  <c r="P2406" i="1"/>
  <c r="O2406" i="1"/>
  <c r="N2406" i="1"/>
  <c r="M2406" i="1"/>
  <c r="J2406" i="1"/>
  <c r="I2406" i="1"/>
  <c r="H2406" i="1"/>
  <c r="F2406" i="1"/>
  <c r="D2406" i="1"/>
  <c r="B2406" i="1"/>
  <c r="A2406" i="1"/>
  <c r="U2916" i="1"/>
  <c r="R2916" i="1"/>
  <c r="Q2916" i="1"/>
  <c r="P2916" i="1"/>
  <c r="O2916" i="1"/>
  <c r="N2916" i="1"/>
  <c r="M2916" i="1"/>
  <c r="J2916" i="1"/>
  <c r="I2916" i="1"/>
  <c r="H2916" i="1"/>
  <c r="F2916" i="1"/>
  <c r="D2916" i="1"/>
  <c r="B2916" i="1"/>
  <c r="A2916" i="1"/>
  <c r="U2637" i="1"/>
  <c r="R2637" i="1"/>
  <c r="Q2637" i="1"/>
  <c r="P2637" i="1"/>
  <c r="O2637" i="1"/>
  <c r="N2637" i="1"/>
  <c r="M2637" i="1"/>
  <c r="K2637" i="1"/>
  <c r="J2637" i="1"/>
  <c r="I2637" i="1"/>
  <c r="H2637" i="1"/>
  <c r="F2637" i="1"/>
  <c r="D2637" i="1"/>
  <c r="B2637" i="1"/>
  <c r="A2637" i="1"/>
  <c r="U1538" i="1"/>
  <c r="R1538" i="1"/>
  <c r="Q1538" i="1"/>
  <c r="P1538" i="1"/>
  <c r="O1538" i="1"/>
  <c r="N1538" i="1"/>
  <c r="M1538" i="1"/>
  <c r="K1538" i="1"/>
  <c r="J1538" i="1"/>
  <c r="I1538" i="1"/>
  <c r="H1538" i="1"/>
  <c r="F1538" i="1"/>
  <c r="D1538" i="1"/>
  <c r="B1538" i="1"/>
  <c r="A1538" i="1"/>
  <c r="U16" i="1"/>
  <c r="R16" i="1"/>
  <c r="Q16" i="1"/>
  <c r="P16" i="1"/>
  <c r="O16" i="1"/>
  <c r="N16" i="1"/>
  <c r="M16" i="1"/>
  <c r="J16" i="1"/>
  <c r="I16" i="1"/>
  <c r="H16" i="1"/>
  <c r="G16" i="1"/>
  <c r="F16" i="1"/>
  <c r="D16" i="1"/>
  <c r="B16" i="1"/>
  <c r="A16" i="1"/>
  <c r="U103" i="1"/>
  <c r="R103" i="1"/>
  <c r="Q103" i="1"/>
  <c r="P103" i="1"/>
  <c r="O103" i="1"/>
  <c r="N103" i="1"/>
  <c r="M103" i="1"/>
  <c r="J103" i="1"/>
  <c r="I103" i="1"/>
  <c r="H103" i="1"/>
  <c r="F103" i="1"/>
  <c r="D103" i="1"/>
  <c r="B103" i="1"/>
  <c r="A103" i="1"/>
  <c r="U628" i="1"/>
  <c r="R628" i="1"/>
  <c r="Q628" i="1"/>
  <c r="P628" i="1"/>
  <c r="O628" i="1"/>
  <c r="N628" i="1"/>
  <c r="M628" i="1"/>
  <c r="I628" i="1"/>
  <c r="H628" i="1"/>
  <c r="F628" i="1"/>
  <c r="D628" i="1"/>
  <c r="B628" i="1"/>
  <c r="A628" i="1"/>
  <c r="U915" i="1"/>
  <c r="R915" i="1"/>
  <c r="Q915" i="1"/>
  <c r="P915" i="1"/>
  <c r="O915" i="1"/>
  <c r="N915" i="1"/>
  <c r="M915" i="1"/>
  <c r="J915" i="1"/>
  <c r="I915" i="1"/>
  <c r="H915" i="1"/>
  <c r="F915" i="1"/>
  <c r="D915" i="1"/>
  <c r="B915" i="1"/>
  <c r="A915" i="1"/>
  <c r="U1385" i="1"/>
  <c r="R1385" i="1"/>
  <c r="Q1385" i="1"/>
  <c r="P1385" i="1"/>
  <c r="O1385" i="1"/>
  <c r="N1385" i="1"/>
  <c r="M1385" i="1"/>
  <c r="I1385" i="1"/>
  <c r="H1385" i="1"/>
  <c r="F1385" i="1"/>
  <c r="D1385" i="1"/>
  <c r="B1385" i="1"/>
  <c r="A1385" i="1"/>
  <c r="U1440" i="1"/>
  <c r="R1440" i="1"/>
  <c r="Q1440" i="1"/>
  <c r="P1440" i="1"/>
  <c r="O1440" i="1"/>
  <c r="N1440" i="1"/>
  <c r="M1440" i="1"/>
  <c r="J1440" i="1"/>
  <c r="I1440" i="1"/>
  <c r="H1440" i="1"/>
  <c r="F1440" i="1"/>
  <c r="D1440" i="1"/>
  <c r="B1440" i="1"/>
  <c r="A1440" i="1"/>
  <c r="U1839" i="1"/>
  <c r="R1839" i="1"/>
  <c r="Q1839" i="1"/>
  <c r="P1839" i="1"/>
  <c r="O1839" i="1"/>
  <c r="N1839" i="1"/>
  <c r="M1839" i="1"/>
  <c r="K1839" i="1"/>
  <c r="J1839" i="1"/>
  <c r="I1839" i="1"/>
  <c r="H1839" i="1"/>
  <c r="F1839" i="1"/>
  <c r="D1839" i="1"/>
  <c r="B1839" i="1"/>
  <c r="A1839" i="1"/>
  <c r="U2150" i="1"/>
  <c r="R2150" i="1"/>
  <c r="Q2150" i="1"/>
  <c r="P2150" i="1"/>
  <c r="O2150" i="1"/>
  <c r="N2150" i="1"/>
  <c r="M2150" i="1"/>
  <c r="K2150" i="1"/>
  <c r="J2150" i="1"/>
  <c r="I2150" i="1"/>
  <c r="H2150" i="1"/>
  <c r="F2150" i="1"/>
  <c r="D2150" i="1"/>
  <c r="B2150" i="1"/>
  <c r="A2150" i="1"/>
  <c r="U2607" i="1"/>
  <c r="R2607" i="1"/>
  <c r="Q2607" i="1"/>
  <c r="P2607" i="1"/>
  <c r="O2607" i="1"/>
  <c r="N2607" i="1"/>
  <c r="M2607" i="1"/>
  <c r="K2607" i="1"/>
  <c r="J2607" i="1"/>
  <c r="I2607" i="1"/>
  <c r="H2607" i="1"/>
  <c r="F2607" i="1"/>
  <c r="D2607" i="1"/>
  <c r="B2607" i="1"/>
  <c r="A2607" i="1"/>
  <c r="U3156" i="1"/>
  <c r="R3156" i="1"/>
  <c r="Q3156" i="1"/>
  <c r="P3156" i="1"/>
  <c r="O3156" i="1"/>
  <c r="N3156" i="1"/>
  <c r="M3156" i="1"/>
  <c r="K3156" i="1"/>
  <c r="J3156" i="1"/>
  <c r="I3156" i="1"/>
  <c r="H3156" i="1"/>
  <c r="F3156" i="1"/>
  <c r="D3156" i="1"/>
  <c r="B3156" i="1"/>
  <c r="A3156" i="1"/>
  <c r="U6" i="1"/>
  <c r="R6" i="1"/>
  <c r="Q6" i="1"/>
  <c r="P6" i="1"/>
  <c r="O6" i="1"/>
  <c r="N6" i="1"/>
  <c r="M6" i="1"/>
  <c r="I6" i="1"/>
  <c r="H6" i="1"/>
  <c r="F6" i="1"/>
  <c r="D6" i="1"/>
  <c r="B6" i="1"/>
  <c r="A6" i="1"/>
  <c r="U73" i="1"/>
  <c r="R73" i="1"/>
  <c r="Q73" i="1"/>
  <c r="P73" i="1"/>
  <c r="O73" i="1"/>
  <c r="N73" i="1"/>
  <c r="M73" i="1"/>
  <c r="I73" i="1"/>
  <c r="H73" i="1"/>
  <c r="F73" i="1"/>
  <c r="D73" i="1"/>
  <c r="B73" i="1"/>
  <c r="A73" i="1"/>
  <c r="U124" i="1"/>
  <c r="R124" i="1"/>
  <c r="Q124" i="1"/>
  <c r="P124" i="1"/>
  <c r="O124" i="1"/>
  <c r="N124" i="1"/>
  <c r="M124" i="1"/>
  <c r="J124" i="1"/>
  <c r="I124" i="1"/>
  <c r="H124" i="1"/>
  <c r="F124" i="1"/>
  <c r="D124" i="1"/>
  <c r="B124" i="1"/>
  <c r="A124" i="1"/>
  <c r="U177" i="1"/>
  <c r="R177" i="1"/>
  <c r="Q177" i="1"/>
  <c r="P177" i="1"/>
  <c r="O177" i="1"/>
  <c r="N177" i="1"/>
  <c r="M177" i="1"/>
  <c r="J177" i="1"/>
  <c r="I177" i="1"/>
  <c r="H177" i="1"/>
  <c r="F177" i="1"/>
  <c r="D177" i="1"/>
  <c r="B177" i="1"/>
  <c r="A177" i="1"/>
  <c r="U113" i="1"/>
  <c r="R113" i="1"/>
  <c r="Q113" i="1"/>
  <c r="P113" i="1"/>
  <c r="O113" i="1"/>
  <c r="N113" i="1"/>
  <c r="M113" i="1"/>
  <c r="J113" i="1"/>
  <c r="I113" i="1"/>
  <c r="H113" i="1"/>
  <c r="F113" i="1"/>
  <c r="E113" i="1"/>
  <c r="D113" i="1"/>
  <c r="B113" i="1"/>
  <c r="A113" i="1"/>
  <c r="U433" i="1"/>
  <c r="R433" i="1"/>
  <c r="Q433" i="1"/>
  <c r="P433" i="1"/>
  <c r="O433" i="1"/>
  <c r="N433" i="1"/>
  <c r="M433" i="1"/>
  <c r="I433" i="1"/>
  <c r="H433" i="1"/>
  <c r="F433" i="1"/>
  <c r="D433" i="1"/>
  <c r="B433" i="1"/>
  <c r="A433" i="1"/>
  <c r="U672" i="1"/>
  <c r="R672" i="1"/>
  <c r="Q672" i="1"/>
  <c r="P672" i="1"/>
  <c r="O672" i="1"/>
  <c r="N672" i="1"/>
  <c r="M672" i="1"/>
  <c r="J672" i="1"/>
  <c r="I672" i="1"/>
  <c r="H672" i="1"/>
  <c r="F672" i="1"/>
  <c r="D672" i="1"/>
  <c r="B672" i="1"/>
  <c r="A672" i="1"/>
  <c r="U559" i="1"/>
  <c r="R559" i="1"/>
  <c r="Q559" i="1"/>
  <c r="P559" i="1"/>
  <c r="O559" i="1"/>
  <c r="N559" i="1"/>
  <c r="M559" i="1"/>
  <c r="J559" i="1"/>
  <c r="I559" i="1"/>
  <c r="H559" i="1"/>
  <c r="F559" i="1"/>
  <c r="D559" i="1"/>
  <c r="B559" i="1"/>
  <c r="A559" i="1"/>
  <c r="U653" i="1"/>
  <c r="R653" i="1"/>
  <c r="Q653" i="1"/>
  <c r="P653" i="1"/>
  <c r="O653" i="1"/>
  <c r="N653" i="1"/>
  <c r="M653" i="1"/>
  <c r="J653" i="1"/>
  <c r="I653" i="1"/>
  <c r="H653" i="1"/>
  <c r="F653" i="1"/>
  <c r="D653" i="1"/>
  <c r="B653" i="1"/>
  <c r="A653" i="1"/>
  <c r="U1027" i="1"/>
  <c r="R1027" i="1"/>
  <c r="Q1027" i="1"/>
  <c r="P1027" i="1"/>
  <c r="O1027" i="1"/>
  <c r="N1027" i="1"/>
  <c r="M1027" i="1"/>
  <c r="J1027" i="1"/>
  <c r="I1027" i="1"/>
  <c r="H1027" i="1"/>
  <c r="F1027" i="1"/>
  <c r="D1027" i="1"/>
  <c r="B1027" i="1"/>
  <c r="A1027" i="1"/>
  <c r="U1835" i="1"/>
  <c r="R1835" i="1"/>
  <c r="Q1835" i="1"/>
  <c r="P1835" i="1"/>
  <c r="O1835" i="1"/>
  <c r="N1835" i="1"/>
  <c r="M1835" i="1"/>
  <c r="I1835" i="1"/>
  <c r="H1835" i="1"/>
  <c r="G1835" i="1"/>
  <c r="F1835" i="1"/>
  <c r="D1835" i="1"/>
  <c r="A1835" i="1"/>
  <c r="U1990" i="1"/>
  <c r="R1990" i="1"/>
  <c r="Q1990" i="1"/>
  <c r="P1990" i="1"/>
  <c r="O1990" i="1"/>
  <c r="N1990" i="1"/>
  <c r="M1990" i="1"/>
  <c r="J1990" i="1"/>
  <c r="I1990" i="1"/>
  <c r="H1990" i="1"/>
  <c r="F1990" i="1"/>
  <c r="D1990" i="1"/>
  <c r="B1990" i="1"/>
  <c r="A1990" i="1"/>
  <c r="U2537" i="1"/>
  <c r="R2537" i="1"/>
  <c r="Q2537" i="1"/>
  <c r="P2537" i="1"/>
  <c r="O2537" i="1"/>
  <c r="N2537" i="1"/>
  <c r="M2537" i="1"/>
  <c r="K2537" i="1"/>
  <c r="J2537" i="1"/>
  <c r="I2537" i="1"/>
  <c r="H2537" i="1"/>
  <c r="F2537" i="1"/>
  <c r="D2537" i="1"/>
  <c r="B2537" i="1"/>
  <c r="A2537" i="1"/>
  <c r="U2566" i="1"/>
  <c r="R2566" i="1"/>
  <c r="Q2566" i="1"/>
  <c r="P2566" i="1"/>
  <c r="O2566" i="1"/>
  <c r="N2566" i="1"/>
  <c r="M2566" i="1"/>
  <c r="K2566" i="1"/>
  <c r="J2566" i="1"/>
  <c r="I2566" i="1"/>
  <c r="H2566" i="1"/>
  <c r="F2566" i="1"/>
  <c r="D2566" i="1"/>
  <c r="B2566" i="1"/>
  <c r="A2566" i="1"/>
  <c r="U2389" i="1"/>
  <c r="R2389" i="1"/>
  <c r="Q2389" i="1"/>
  <c r="P2389" i="1"/>
  <c r="O2389" i="1"/>
  <c r="N2389" i="1"/>
  <c r="M2389" i="1"/>
  <c r="K2389" i="1"/>
  <c r="J2389" i="1"/>
  <c r="I2389" i="1"/>
  <c r="H2389" i="1"/>
  <c r="F2389" i="1"/>
  <c r="D2389" i="1"/>
  <c r="B2389" i="1"/>
  <c r="A2389" i="1"/>
  <c r="U2854" i="1"/>
  <c r="R2854" i="1"/>
  <c r="Q2854" i="1"/>
  <c r="P2854" i="1"/>
  <c r="O2854" i="1"/>
  <c r="N2854" i="1"/>
  <c r="M2854" i="1"/>
  <c r="J2854" i="1"/>
  <c r="I2854" i="1"/>
  <c r="H2854" i="1"/>
  <c r="F2854" i="1"/>
  <c r="E2854" i="1"/>
  <c r="D2854" i="1"/>
  <c r="B2854" i="1"/>
  <c r="A2854" i="1"/>
  <c r="U41" i="1"/>
  <c r="R41" i="1"/>
  <c r="Q41" i="1"/>
  <c r="P41" i="1"/>
  <c r="O41" i="1"/>
  <c r="N41" i="1"/>
  <c r="M41" i="1"/>
  <c r="I41" i="1"/>
  <c r="H41" i="1"/>
  <c r="F41" i="1"/>
  <c r="D41" i="1"/>
  <c r="A41" i="1"/>
  <c r="U36" i="1"/>
  <c r="R36" i="1"/>
  <c r="Q36" i="1"/>
  <c r="P36" i="1"/>
  <c r="O36" i="1"/>
  <c r="N36" i="1"/>
  <c r="M36" i="1"/>
  <c r="I36" i="1"/>
  <c r="H36" i="1"/>
  <c r="F36" i="1"/>
  <c r="D36" i="1"/>
  <c r="B36" i="1"/>
  <c r="A36" i="1"/>
  <c r="U218" i="1"/>
  <c r="R218" i="1"/>
  <c r="Q218" i="1"/>
  <c r="P218" i="1"/>
  <c r="O218" i="1"/>
  <c r="N218" i="1"/>
  <c r="M218" i="1"/>
  <c r="I218" i="1"/>
  <c r="H218" i="1"/>
  <c r="F218" i="1"/>
  <c r="D218" i="1"/>
  <c r="B218" i="1"/>
  <c r="A218" i="1"/>
  <c r="U470" i="1"/>
  <c r="R470" i="1"/>
  <c r="Q470" i="1"/>
  <c r="P470" i="1"/>
  <c r="O470" i="1"/>
  <c r="N470" i="1"/>
  <c r="M470" i="1"/>
  <c r="I470" i="1"/>
  <c r="H470" i="1"/>
  <c r="F470" i="1"/>
  <c r="D470" i="1"/>
  <c r="B470" i="1"/>
  <c r="A470" i="1"/>
  <c r="U532" i="1"/>
  <c r="R532" i="1"/>
  <c r="Q532" i="1"/>
  <c r="P532" i="1"/>
  <c r="O532" i="1"/>
  <c r="N532" i="1"/>
  <c r="M532" i="1"/>
  <c r="I532" i="1"/>
  <c r="H532" i="1"/>
  <c r="F532" i="1"/>
  <c r="D532" i="1"/>
  <c r="A532" i="1"/>
  <c r="U868" i="1"/>
  <c r="R868" i="1"/>
  <c r="Q868" i="1"/>
  <c r="P868" i="1"/>
  <c r="O868" i="1"/>
  <c r="N868" i="1"/>
  <c r="M868" i="1"/>
  <c r="I868" i="1"/>
  <c r="H868" i="1"/>
  <c r="F868" i="1"/>
  <c r="D868" i="1"/>
  <c r="B868" i="1"/>
  <c r="A868" i="1"/>
  <c r="U717" i="1"/>
  <c r="R717" i="1"/>
  <c r="Q717" i="1"/>
  <c r="P717" i="1"/>
  <c r="O717" i="1"/>
  <c r="N717" i="1"/>
  <c r="M717" i="1"/>
  <c r="I717" i="1"/>
  <c r="H717" i="1"/>
  <c r="F717" i="1"/>
  <c r="D717" i="1"/>
  <c r="B717" i="1"/>
  <c r="A717" i="1"/>
  <c r="U760" i="1"/>
  <c r="R760" i="1"/>
  <c r="Q760" i="1"/>
  <c r="P760" i="1"/>
  <c r="O760" i="1"/>
  <c r="N760" i="1"/>
  <c r="M760" i="1"/>
  <c r="I760" i="1"/>
  <c r="H760" i="1"/>
  <c r="F760" i="1"/>
  <c r="D760" i="1"/>
  <c r="A760" i="1"/>
  <c r="U759" i="1"/>
  <c r="R759" i="1"/>
  <c r="Q759" i="1"/>
  <c r="P759" i="1"/>
  <c r="O759" i="1"/>
  <c r="N759" i="1"/>
  <c r="M759" i="1"/>
  <c r="I759" i="1"/>
  <c r="H759" i="1"/>
  <c r="F759" i="1"/>
  <c r="D759" i="1"/>
  <c r="B759" i="1"/>
  <c r="A759" i="1"/>
  <c r="U1026" i="1"/>
  <c r="R1026" i="1"/>
  <c r="Q1026" i="1"/>
  <c r="P1026" i="1"/>
  <c r="O1026" i="1"/>
  <c r="N1026" i="1"/>
  <c r="M1026" i="1"/>
  <c r="I1026" i="1"/>
  <c r="H1026" i="1"/>
  <c r="F1026" i="1"/>
  <c r="D1026" i="1"/>
  <c r="A1026" i="1"/>
  <c r="U982" i="1"/>
  <c r="R982" i="1"/>
  <c r="Q982" i="1"/>
  <c r="P982" i="1"/>
  <c r="O982" i="1"/>
  <c r="N982" i="1"/>
  <c r="M982" i="1"/>
  <c r="I982" i="1"/>
  <c r="H982" i="1"/>
  <c r="F982" i="1"/>
  <c r="D982" i="1"/>
  <c r="B982" i="1"/>
  <c r="A982" i="1"/>
  <c r="U1522" i="1"/>
  <c r="R1522" i="1"/>
  <c r="Q1522" i="1"/>
  <c r="P1522" i="1"/>
  <c r="O1522" i="1"/>
  <c r="N1522" i="1"/>
  <c r="M1522" i="1"/>
  <c r="I1522" i="1"/>
  <c r="H1522" i="1"/>
  <c r="F1522" i="1"/>
  <c r="D1522" i="1"/>
  <c r="B1522" i="1"/>
  <c r="A1522" i="1"/>
  <c r="U1996" i="1"/>
  <c r="R1996" i="1"/>
  <c r="Q1996" i="1"/>
  <c r="P1996" i="1"/>
  <c r="O1996" i="1"/>
  <c r="N1996" i="1"/>
  <c r="M1996" i="1"/>
  <c r="J1996" i="1"/>
  <c r="I1996" i="1"/>
  <c r="H1996" i="1"/>
  <c r="F1996" i="1"/>
  <c r="D1996" i="1"/>
  <c r="B1996" i="1"/>
  <c r="A1996" i="1"/>
  <c r="U2146" i="1"/>
  <c r="R2146" i="1"/>
  <c r="Q2146" i="1"/>
  <c r="P2146" i="1"/>
  <c r="O2146" i="1"/>
  <c r="N2146" i="1"/>
  <c r="M2146" i="1"/>
  <c r="J2146" i="1"/>
  <c r="I2146" i="1"/>
  <c r="H2146" i="1"/>
  <c r="F2146" i="1"/>
  <c r="D2146" i="1"/>
  <c r="B2146" i="1"/>
  <c r="A2146" i="1"/>
  <c r="U2165" i="1"/>
  <c r="R2165" i="1"/>
  <c r="Q2165" i="1"/>
  <c r="P2165" i="1"/>
  <c r="O2165" i="1"/>
  <c r="N2165" i="1"/>
  <c r="M2165" i="1"/>
  <c r="K2165" i="1"/>
  <c r="J2165" i="1"/>
  <c r="I2165" i="1"/>
  <c r="H2165" i="1"/>
  <c r="F2165" i="1"/>
  <c r="D2165" i="1"/>
  <c r="B2165" i="1"/>
  <c r="A2165" i="1"/>
  <c r="U2450" i="1"/>
  <c r="R2450" i="1"/>
  <c r="Q2450" i="1"/>
  <c r="P2450" i="1"/>
  <c r="O2450" i="1"/>
  <c r="N2450" i="1"/>
  <c r="M2450" i="1"/>
  <c r="K2450" i="1"/>
  <c r="J2450" i="1"/>
  <c r="I2450" i="1"/>
  <c r="H2450" i="1"/>
  <c r="F2450" i="1"/>
  <c r="D2450" i="1"/>
  <c r="B2450" i="1"/>
  <c r="A2450" i="1"/>
  <c r="U1879" i="1"/>
  <c r="R1879" i="1"/>
  <c r="Q1879" i="1"/>
  <c r="P1879" i="1"/>
  <c r="O1879" i="1"/>
  <c r="N1879" i="1"/>
  <c r="M1879" i="1"/>
  <c r="K1879" i="1"/>
  <c r="J1879" i="1"/>
  <c r="I1879" i="1"/>
  <c r="H1879" i="1"/>
  <c r="F1879" i="1"/>
  <c r="D1879" i="1"/>
  <c r="B1879" i="1"/>
  <c r="A1879" i="1"/>
  <c r="U1917" i="1"/>
  <c r="R1917" i="1"/>
  <c r="Q1917" i="1"/>
  <c r="P1917" i="1"/>
  <c r="O1917" i="1"/>
  <c r="N1917" i="1"/>
  <c r="M1917" i="1"/>
  <c r="K1917" i="1"/>
  <c r="J1917" i="1"/>
  <c r="I1917" i="1"/>
  <c r="H1917" i="1"/>
  <c r="F1917" i="1"/>
  <c r="D1917" i="1"/>
  <c r="B1917" i="1"/>
  <c r="A1917" i="1"/>
  <c r="U2088" i="1"/>
  <c r="R2088" i="1"/>
  <c r="Q2088" i="1"/>
  <c r="P2088" i="1"/>
  <c r="O2088" i="1"/>
  <c r="N2088" i="1"/>
  <c r="M2088" i="1"/>
  <c r="K2088" i="1"/>
  <c r="J2088" i="1"/>
  <c r="I2088" i="1"/>
  <c r="H2088" i="1"/>
  <c r="F2088" i="1"/>
  <c r="D2088" i="1"/>
  <c r="B2088" i="1"/>
  <c r="A2088" i="1"/>
  <c r="U2026" i="1"/>
  <c r="R2026" i="1"/>
  <c r="Q2026" i="1"/>
  <c r="P2026" i="1"/>
  <c r="O2026" i="1"/>
  <c r="N2026" i="1"/>
  <c r="M2026" i="1"/>
  <c r="K2026" i="1"/>
  <c r="J2026" i="1"/>
  <c r="I2026" i="1"/>
  <c r="H2026" i="1"/>
  <c r="F2026" i="1"/>
  <c r="E2026" i="1"/>
  <c r="D2026" i="1"/>
  <c r="B2026" i="1"/>
  <c r="A2026" i="1"/>
  <c r="U3051" i="1"/>
  <c r="R3051" i="1"/>
  <c r="Q3051" i="1"/>
  <c r="P3051" i="1"/>
  <c r="O3051" i="1"/>
  <c r="N3051" i="1"/>
  <c r="M3051" i="1"/>
  <c r="K3051" i="1"/>
  <c r="J3051" i="1"/>
  <c r="I3051" i="1"/>
  <c r="H3051" i="1"/>
  <c r="F3051" i="1"/>
  <c r="D3051" i="1"/>
  <c r="B3051" i="1"/>
  <c r="A3051" i="1"/>
  <c r="U1865" i="1"/>
  <c r="R1865" i="1"/>
  <c r="Q1865" i="1"/>
  <c r="P1865" i="1"/>
  <c r="O1865" i="1"/>
  <c r="N1865" i="1"/>
  <c r="M1865" i="1"/>
  <c r="K1865" i="1"/>
  <c r="J1865" i="1"/>
  <c r="I1865" i="1"/>
  <c r="H1865" i="1"/>
  <c r="F1865" i="1"/>
  <c r="D1865" i="1"/>
  <c r="B1865" i="1"/>
  <c r="A1865" i="1"/>
  <c r="U1872" i="1"/>
  <c r="R1872" i="1"/>
  <c r="Q1872" i="1"/>
  <c r="P1872" i="1"/>
  <c r="O1872" i="1"/>
  <c r="N1872" i="1"/>
  <c r="M1872" i="1"/>
  <c r="J1872" i="1"/>
  <c r="I1872" i="1"/>
  <c r="H1872" i="1"/>
  <c r="F1872" i="1"/>
  <c r="D1872" i="1"/>
  <c r="B1872" i="1"/>
  <c r="A1872" i="1"/>
  <c r="U2555" i="1"/>
  <c r="R2555" i="1"/>
  <c r="Q2555" i="1"/>
  <c r="P2555" i="1"/>
  <c r="O2555" i="1"/>
  <c r="N2555" i="1"/>
  <c r="M2555" i="1"/>
  <c r="J2555" i="1"/>
  <c r="I2555" i="1"/>
  <c r="H2555" i="1"/>
  <c r="F2555" i="1"/>
  <c r="D2555" i="1"/>
  <c r="B2555" i="1"/>
  <c r="A2555" i="1"/>
  <c r="U2078" i="1"/>
  <c r="R2078" i="1"/>
  <c r="Q2078" i="1"/>
  <c r="P2078" i="1"/>
  <c r="O2078" i="1"/>
  <c r="N2078" i="1"/>
  <c r="M2078" i="1"/>
  <c r="K2078" i="1"/>
  <c r="J2078" i="1"/>
  <c r="I2078" i="1"/>
  <c r="H2078" i="1"/>
  <c r="F2078" i="1"/>
  <c r="E2078" i="1"/>
  <c r="D2078" i="1"/>
  <c r="B2078" i="1"/>
  <c r="A2078" i="1"/>
  <c r="U2636" i="1"/>
  <c r="R2636" i="1"/>
  <c r="Q2636" i="1"/>
  <c r="P2636" i="1"/>
  <c r="O2636" i="1"/>
  <c r="N2636" i="1"/>
  <c r="M2636" i="1"/>
  <c r="K2636" i="1"/>
  <c r="J2636" i="1"/>
  <c r="I2636" i="1"/>
  <c r="H2636" i="1"/>
  <c r="F2636" i="1"/>
  <c r="D2636" i="1"/>
  <c r="B2636" i="1"/>
  <c r="A2636" i="1"/>
  <c r="U154" i="1"/>
  <c r="R154" i="1"/>
  <c r="Q154" i="1"/>
  <c r="P154" i="1"/>
  <c r="O154" i="1"/>
  <c r="N154" i="1"/>
  <c r="M154" i="1"/>
  <c r="I154" i="1"/>
  <c r="H154" i="1"/>
  <c r="F154" i="1"/>
  <c r="D154" i="1"/>
  <c r="B154" i="1"/>
  <c r="A154" i="1"/>
  <c r="U363" i="1"/>
  <c r="R363" i="1"/>
  <c r="Q363" i="1"/>
  <c r="P363" i="1"/>
  <c r="O363" i="1"/>
  <c r="N363" i="1"/>
  <c r="M363" i="1"/>
  <c r="J363" i="1"/>
  <c r="I363" i="1"/>
  <c r="H363" i="1"/>
  <c r="F363" i="1"/>
  <c r="D363" i="1"/>
  <c r="B363" i="1"/>
  <c r="A363" i="1"/>
  <c r="U398" i="1"/>
  <c r="R398" i="1"/>
  <c r="Q398" i="1"/>
  <c r="P398" i="1"/>
  <c r="O398" i="1"/>
  <c r="N398" i="1"/>
  <c r="M398" i="1"/>
  <c r="J398" i="1"/>
  <c r="I398" i="1"/>
  <c r="H398" i="1"/>
  <c r="F398" i="1"/>
  <c r="D398" i="1"/>
  <c r="B398" i="1"/>
  <c r="A398" i="1"/>
  <c r="U484" i="1"/>
  <c r="R484" i="1"/>
  <c r="Q484" i="1"/>
  <c r="P484" i="1"/>
  <c r="O484" i="1"/>
  <c r="N484" i="1"/>
  <c r="M484" i="1"/>
  <c r="J484" i="1"/>
  <c r="I484" i="1"/>
  <c r="H484" i="1"/>
  <c r="F484" i="1"/>
  <c r="D484" i="1"/>
  <c r="B484" i="1"/>
  <c r="A484" i="1"/>
  <c r="U957" i="1"/>
  <c r="R957" i="1"/>
  <c r="Q957" i="1"/>
  <c r="P957" i="1"/>
  <c r="O957" i="1"/>
  <c r="N957" i="1"/>
  <c r="M957" i="1"/>
  <c r="I957" i="1"/>
  <c r="H957" i="1"/>
  <c r="F957" i="1"/>
  <c r="D957" i="1"/>
  <c r="B957" i="1"/>
  <c r="A957" i="1"/>
  <c r="U1324" i="1"/>
  <c r="R1324" i="1"/>
  <c r="Q1324" i="1"/>
  <c r="P1324" i="1"/>
  <c r="O1324" i="1"/>
  <c r="N1324" i="1"/>
  <c r="M1324" i="1"/>
  <c r="I1324" i="1"/>
  <c r="H1324" i="1"/>
  <c r="F1324" i="1"/>
  <c r="D1324" i="1"/>
  <c r="A1324" i="1"/>
  <c r="U1354" i="1"/>
  <c r="R1354" i="1"/>
  <c r="Q1354" i="1"/>
  <c r="P1354" i="1"/>
  <c r="O1354" i="1"/>
  <c r="N1354" i="1"/>
  <c r="M1354" i="1"/>
  <c r="I1354" i="1"/>
  <c r="H1354" i="1"/>
  <c r="F1354" i="1"/>
  <c r="D1354" i="1"/>
  <c r="B1354" i="1"/>
  <c r="A1354" i="1"/>
  <c r="U1347" i="1"/>
  <c r="R1347" i="1"/>
  <c r="Q1347" i="1"/>
  <c r="P1347" i="1"/>
  <c r="O1347" i="1"/>
  <c r="N1347" i="1"/>
  <c r="M1347" i="1"/>
  <c r="I1347" i="1"/>
  <c r="H1347" i="1"/>
  <c r="F1347" i="1"/>
  <c r="D1347" i="1"/>
  <c r="B1347" i="1"/>
  <c r="A1347" i="1"/>
  <c r="U1478" i="1"/>
  <c r="R1478" i="1"/>
  <c r="Q1478" i="1"/>
  <c r="P1478" i="1"/>
  <c r="O1478" i="1"/>
  <c r="N1478" i="1"/>
  <c r="M1478" i="1"/>
  <c r="I1478" i="1"/>
  <c r="H1478" i="1"/>
  <c r="F1478" i="1"/>
  <c r="D1478" i="1"/>
  <c r="B1478" i="1"/>
  <c r="A1478" i="1"/>
  <c r="U1781" i="1"/>
  <c r="R1781" i="1"/>
  <c r="Q1781" i="1"/>
  <c r="P1781" i="1"/>
  <c r="O1781" i="1"/>
  <c r="N1781" i="1"/>
  <c r="M1781" i="1"/>
  <c r="K1781" i="1"/>
  <c r="J1781" i="1"/>
  <c r="I1781" i="1"/>
  <c r="H1781" i="1"/>
  <c r="F1781" i="1"/>
  <c r="D1781" i="1"/>
  <c r="B1781" i="1"/>
  <c r="A1781" i="1"/>
  <c r="U2025" i="1"/>
  <c r="R2025" i="1"/>
  <c r="Q2025" i="1"/>
  <c r="P2025" i="1"/>
  <c r="O2025" i="1"/>
  <c r="N2025" i="1"/>
  <c r="M2025" i="1"/>
  <c r="J2025" i="1"/>
  <c r="I2025" i="1"/>
  <c r="H2025" i="1"/>
  <c r="F2025" i="1"/>
  <c r="D2025" i="1"/>
  <c r="B2025" i="1"/>
  <c r="A2025" i="1"/>
  <c r="U2319" i="1"/>
  <c r="R2319" i="1"/>
  <c r="Q2319" i="1"/>
  <c r="P2319" i="1"/>
  <c r="O2319" i="1"/>
  <c r="N2319" i="1"/>
  <c r="M2319" i="1"/>
  <c r="K2319" i="1"/>
  <c r="J2319" i="1"/>
  <c r="I2319" i="1"/>
  <c r="H2319" i="1"/>
  <c r="F2319" i="1"/>
  <c r="D2319" i="1"/>
  <c r="B2319" i="1"/>
  <c r="A2319" i="1"/>
  <c r="U2324" i="1"/>
  <c r="R2324" i="1"/>
  <c r="Q2324" i="1"/>
  <c r="P2324" i="1"/>
  <c r="O2324" i="1"/>
  <c r="N2324" i="1"/>
  <c r="M2324" i="1"/>
  <c r="K2324" i="1"/>
  <c r="J2324" i="1"/>
  <c r="I2324" i="1"/>
  <c r="H2324" i="1"/>
  <c r="F2324" i="1"/>
  <c r="D2324" i="1"/>
  <c r="B2324" i="1"/>
  <c r="A2324" i="1"/>
  <c r="U2352" i="1"/>
  <c r="R2352" i="1"/>
  <c r="Q2352" i="1"/>
  <c r="P2352" i="1"/>
  <c r="O2352" i="1"/>
  <c r="N2352" i="1"/>
  <c r="M2352" i="1"/>
  <c r="K2352" i="1"/>
  <c r="J2352" i="1"/>
  <c r="I2352" i="1"/>
  <c r="H2352" i="1"/>
  <c r="G2352" i="1"/>
  <c r="F2352" i="1"/>
  <c r="D2352" i="1"/>
  <c r="B2352" i="1"/>
  <c r="A2352" i="1"/>
  <c r="U2761" i="1"/>
  <c r="R2761" i="1"/>
  <c r="Q2761" i="1"/>
  <c r="P2761" i="1"/>
  <c r="O2761" i="1"/>
  <c r="N2761" i="1"/>
  <c r="M2761" i="1"/>
  <c r="K2761" i="1"/>
  <c r="J2761" i="1"/>
  <c r="I2761" i="1"/>
  <c r="H2761" i="1"/>
  <c r="F2761" i="1"/>
  <c r="D2761" i="1"/>
  <c r="B2761" i="1"/>
  <c r="A2761" i="1"/>
  <c r="U2760" i="1"/>
  <c r="R2760" i="1"/>
  <c r="Q2760" i="1"/>
  <c r="P2760" i="1"/>
  <c r="O2760" i="1"/>
  <c r="N2760" i="1"/>
  <c r="M2760" i="1"/>
  <c r="K2760" i="1"/>
  <c r="J2760" i="1"/>
  <c r="I2760" i="1"/>
  <c r="H2760" i="1"/>
  <c r="F2760" i="1"/>
  <c r="D2760" i="1"/>
  <c r="B2760" i="1"/>
  <c r="A2760" i="1"/>
  <c r="U2168" i="1"/>
  <c r="R2168" i="1"/>
  <c r="Q2168" i="1"/>
  <c r="P2168" i="1"/>
  <c r="O2168" i="1"/>
  <c r="N2168" i="1"/>
  <c r="M2168" i="1"/>
  <c r="J2168" i="1"/>
  <c r="I2168" i="1"/>
  <c r="H2168" i="1"/>
  <c r="F2168" i="1"/>
  <c r="D2168" i="1"/>
  <c r="B2168" i="1"/>
  <c r="A2168" i="1"/>
  <c r="U2929" i="1"/>
  <c r="R2929" i="1"/>
  <c r="Q2929" i="1"/>
  <c r="P2929" i="1"/>
  <c r="O2929" i="1"/>
  <c r="N2929" i="1"/>
  <c r="M2929" i="1"/>
  <c r="K2929" i="1"/>
  <c r="J2929" i="1"/>
  <c r="I2929" i="1"/>
  <c r="H2929" i="1"/>
  <c r="F2929" i="1"/>
  <c r="D2929" i="1"/>
  <c r="B2929" i="1"/>
  <c r="A2929" i="1"/>
  <c r="U2725" i="1"/>
  <c r="R2725" i="1"/>
  <c r="Q2725" i="1"/>
  <c r="P2725" i="1"/>
  <c r="O2725" i="1"/>
  <c r="N2725" i="1"/>
  <c r="M2725" i="1"/>
  <c r="J2725" i="1"/>
  <c r="I2725" i="1"/>
  <c r="H2725" i="1"/>
  <c r="F2725" i="1"/>
  <c r="D2725" i="1"/>
  <c r="B2725" i="1"/>
  <c r="A2725" i="1"/>
  <c r="U2882" i="1"/>
  <c r="R2882" i="1"/>
  <c r="Q2882" i="1"/>
  <c r="P2882" i="1"/>
  <c r="O2882" i="1"/>
  <c r="N2882" i="1"/>
  <c r="M2882" i="1"/>
  <c r="J2882" i="1"/>
  <c r="I2882" i="1"/>
  <c r="H2882" i="1"/>
  <c r="F2882" i="1"/>
  <c r="D2882" i="1"/>
  <c r="B2882" i="1"/>
  <c r="A2882" i="1"/>
  <c r="U2911" i="1"/>
  <c r="R2911" i="1"/>
  <c r="Q2911" i="1"/>
  <c r="P2911" i="1"/>
  <c r="O2911" i="1"/>
  <c r="N2911" i="1"/>
  <c r="M2911" i="1"/>
  <c r="J2911" i="1"/>
  <c r="I2911" i="1"/>
  <c r="H2911" i="1"/>
  <c r="F2911" i="1"/>
  <c r="D2911" i="1"/>
  <c r="B2911" i="1"/>
  <c r="A2911" i="1"/>
  <c r="U3218" i="1"/>
  <c r="R3218" i="1"/>
  <c r="Q3218" i="1"/>
  <c r="P3218" i="1"/>
  <c r="O3218" i="1"/>
  <c r="N3218" i="1"/>
  <c r="M3218" i="1"/>
  <c r="J3218" i="1"/>
  <c r="I3218" i="1"/>
  <c r="H3218" i="1"/>
  <c r="F3218" i="1"/>
  <c r="D3218" i="1"/>
  <c r="B3218" i="1"/>
  <c r="A3218" i="1"/>
  <c r="U3217" i="1"/>
  <c r="R3217" i="1"/>
  <c r="Q3217" i="1"/>
  <c r="P3217" i="1"/>
  <c r="O3217" i="1"/>
  <c r="N3217" i="1"/>
  <c r="M3217" i="1"/>
  <c r="J3217" i="1"/>
  <c r="I3217" i="1"/>
  <c r="H3217" i="1"/>
  <c r="F3217" i="1"/>
  <c r="D3217" i="1"/>
  <c r="B3217" i="1"/>
  <c r="A3217" i="1"/>
  <c r="U3144" i="1"/>
  <c r="R3144" i="1"/>
  <c r="Q3144" i="1"/>
  <c r="P3144" i="1"/>
  <c r="O3144" i="1"/>
  <c r="N3144" i="1"/>
  <c r="M3144" i="1"/>
  <c r="K3144" i="1"/>
  <c r="J3144" i="1"/>
  <c r="I3144" i="1"/>
  <c r="H3144" i="1"/>
  <c r="F3144" i="1"/>
  <c r="D3144" i="1"/>
  <c r="B3144" i="1"/>
  <c r="A3144" i="1"/>
  <c r="U2905" i="1"/>
  <c r="R2905" i="1"/>
  <c r="Q2905" i="1"/>
  <c r="P2905" i="1"/>
  <c r="O2905" i="1"/>
  <c r="N2905" i="1"/>
  <c r="M2905" i="1"/>
  <c r="K2905" i="1"/>
  <c r="J2905" i="1"/>
  <c r="I2905" i="1"/>
  <c r="H2905" i="1"/>
  <c r="F2905" i="1"/>
  <c r="D2905" i="1"/>
  <c r="B2905" i="1"/>
  <c r="A2905" i="1"/>
  <c r="U2936" i="1"/>
  <c r="R2936" i="1"/>
  <c r="Q2936" i="1"/>
  <c r="P2936" i="1"/>
  <c r="O2936" i="1"/>
  <c r="N2936" i="1"/>
  <c r="M2936" i="1"/>
  <c r="K2936" i="1"/>
  <c r="J2936" i="1"/>
  <c r="I2936" i="1"/>
  <c r="H2936" i="1"/>
  <c r="F2936" i="1"/>
  <c r="D2936" i="1"/>
  <c r="B2936" i="1"/>
  <c r="A2936" i="1"/>
  <c r="U2438" i="1"/>
  <c r="R2438" i="1"/>
  <c r="Q2438" i="1"/>
  <c r="P2438" i="1"/>
  <c r="O2438" i="1"/>
  <c r="N2438" i="1"/>
  <c r="M2438" i="1"/>
  <c r="K2438" i="1"/>
  <c r="J2438" i="1"/>
  <c r="I2438" i="1"/>
  <c r="H2438" i="1"/>
  <c r="F2438" i="1"/>
  <c r="E2438" i="1"/>
  <c r="D2438" i="1"/>
  <c r="B2438" i="1"/>
  <c r="A2438" i="1"/>
  <c r="U2952" i="1"/>
  <c r="R2952" i="1"/>
  <c r="Q2952" i="1"/>
  <c r="P2952" i="1"/>
  <c r="O2952" i="1"/>
  <c r="N2952" i="1"/>
  <c r="M2952" i="1"/>
  <c r="K2952" i="1"/>
  <c r="J2952" i="1"/>
  <c r="I2952" i="1"/>
  <c r="H2952" i="1"/>
  <c r="F2952" i="1"/>
  <c r="D2952" i="1"/>
  <c r="B2952" i="1"/>
  <c r="A2952" i="1"/>
  <c r="U3010" i="1"/>
  <c r="R3010" i="1"/>
  <c r="Q3010" i="1"/>
  <c r="P3010" i="1"/>
  <c r="O3010" i="1"/>
  <c r="N3010" i="1"/>
  <c r="M3010" i="1"/>
  <c r="J3010" i="1"/>
  <c r="I3010" i="1"/>
  <c r="H3010" i="1"/>
  <c r="F3010" i="1"/>
  <c r="E3010" i="1"/>
  <c r="D3010" i="1"/>
  <c r="B3010" i="1"/>
  <c r="A3010" i="1"/>
  <c r="U2575" i="1"/>
  <c r="R2575" i="1"/>
  <c r="Q2575" i="1"/>
  <c r="P2575" i="1"/>
  <c r="O2575" i="1"/>
  <c r="N2575" i="1"/>
  <c r="M2575" i="1"/>
  <c r="J2575" i="1"/>
  <c r="I2575" i="1"/>
  <c r="H2575" i="1"/>
  <c r="F2575" i="1"/>
  <c r="D2575" i="1"/>
  <c r="B2575" i="1"/>
  <c r="A2575" i="1"/>
  <c r="U3201" i="1"/>
  <c r="R3201" i="1"/>
  <c r="Q3201" i="1"/>
  <c r="P3201" i="1"/>
  <c r="O3201" i="1"/>
  <c r="N3201" i="1"/>
  <c r="M3201" i="1"/>
  <c r="K3201" i="1"/>
  <c r="J3201" i="1"/>
  <c r="I3201" i="1"/>
  <c r="H3201" i="1"/>
  <c r="F3201" i="1"/>
  <c r="D3201" i="1"/>
  <c r="B3201" i="1"/>
  <c r="A3201" i="1"/>
  <c r="U3214" i="1"/>
  <c r="R3214" i="1"/>
  <c r="Q3214" i="1"/>
  <c r="P3214" i="1"/>
  <c r="O3214" i="1"/>
  <c r="N3214" i="1"/>
  <c r="M3214" i="1"/>
  <c r="K3214" i="1"/>
  <c r="J3214" i="1"/>
  <c r="I3214" i="1"/>
  <c r="H3214" i="1"/>
  <c r="F3214" i="1"/>
  <c r="D3214" i="1"/>
  <c r="B3214" i="1"/>
  <c r="A3214" i="1"/>
  <c r="U2815" i="1"/>
  <c r="R2815" i="1"/>
  <c r="Q2815" i="1"/>
  <c r="P2815" i="1"/>
  <c r="O2815" i="1"/>
  <c r="N2815" i="1"/>
  <c r="M2815" i="1"/>
  <c r="K2815" i="1"/>
  <c r="J2815" i="1"/>
  <c r="I2815" i="1"/>
  <c r="H2815" i="1"/>
  <c r="F2815" i="1"/>
  <c r="D2815" i="1"/>
  <c r="B2815" i="1"/>
  <c r="A2815" i="1"/>
  <c r="U2083" i="1"/>
  <c r="R2083" i="1"/>
  <c r="Q2083" i="1"/>
  <c r="P2083" i="1"/>
  <c r="O2083" i="1"/>
  <c r="N2083" i="1"/>
  <c r="M2083" i="1"/>
  <c r="K2083" i="1"/>
  <c r="J2083" i="1"/>
  <c r="I2083" i="1"/>
  <c r="H2083" i="1"/>
  <c r="F2083" i="1"/>
  <c r="D2083" i="1"/>
  <c r="B2083" i="1"/>
  <c r="A2083" i="1"/>
  <c r="U152" i="1"/>
  <c r="R152" i="1"/>
  <c r="Q152" i="1"/>
  <c r="P152" i="1"/>
  <c r="O152" i="1"/>
  <c r="N152" i="1"/>
  <c r="M152" i="1"/>
  <c r="J152" i="1"/>
  <c r="I152" i="1"/>
  <c r="H152" i="1"/>
  <c r="F152" i="1"/>
  <c r="D152" i="1"/>
  <c r="B152" i="1"/>
  <c r="A152" i="1"/>
  <c r="U29" i="1"/>
  <c r="R29" i="1"/>
  <c r="Q29" i="1"/>
  <c r="P29" i="1"/>
  <c r="O29" i="1"/>
  <c r="N29" i="1"/>
  <c r="M29" i="1"/>
  <c r="J29" i="1"/>
  <c r="I29" i="1"/>
  <c r="H29" i="1"/>
  <c r="F29" i="1"/>
  <c r="D29" i="1"/>
  <c r="B29" i="1"/>
  <c r="A29" i="1"/>
  <c r="U213" i="1"/>
  <c r="R213" i="1"/>
  <c r="Q213" i="1"/>
  <c r="P213" i="1"/>
  <c r="O213" i="1"/>
  <c r="N213" i="1"/>
  <c r="M213" i="1"/>
  <c r="J213" i="1"/>
  <c r="I213" i="1"/>
  <c r="H213" i="1"/>
  <c r="F213" i="1"/>
  <c r="D213" i="1"/>
  <c r="B213" i="1"/>
  <c r="A213" i="1"/>
  <c r="U547" i="1"/>
  <c r="R547" i="1"/>
  <c r="Q547" i="1"/>
  <c r="P547" i="1"/>
  <c r="O547" i="1"/>
  <c r="N547" i="1"/>
  <c r="M547" i="1"/>
  <c r="J547" i="1"/>
  <c r="I547" i="1"/>
  <c r="H547" i="1"/>
  <c r="F547" i="1"/>
  <c r="D547" i="1"/>
  <c r="B547" i="1"/>
  <c r="A547" i="1"/>
  <c r="U850" i="1"/>
  <c r="R850" i="1"/>
  <c r="Q850" i="1"/>
  <c r="P850" i="1"/>
  <c r="O850" i="1"/>
  <c r="N850" i="1"/>
  <c r="M850" i="1"/>
  <c r="J850" i="1"/>
  <c r="I850" i="1"/>
  <c r="H850" i="1"/>
  <c r="F850" i="1"/>
  <c r="D850" i="1"/>
  <c r="B850" i="1"/>
  <c r="A850" i="1"/>
  <c r="U518" i="1"/>
  <c r="R518" i="1"/>
  <c r="Q518" i="1"/>
  <c r="P518" i="1"/>
  <c r="O518" i="1"/>
  <c r="N518" i="1"/>
  <c r="M518" i="1"/>
  <c r="J518" i="1"/>
  <c r="I518" i="1"/>
  <c r="H518" i="1"/>
  <c r="F518" i="1"/>
  <c r="D518" i="1"/>
  <c r="B518" i="1"/>
  <c r="A518" i="1"/>
  <c r="U919" i="1"/>
  <c r="R919" i="1"/>
  <c r="Q919" i="1"/>
  <c r="P919" i="1"/>
  <c r="O919" i="1"/>
  <c r="N919" i="1"/>
  <c r="M919" i="1"/>
  <c r="J919" i="1"/>
  <c r="I919" i="1"/>
  <c r="H919" i="1"/>
  <c r="F919" i="1"/>
  <c r="D919" i="1"/>
  <c r="B919" i="1"/>
  <c r="A919" i="1"/>
  <c r="U1275" i="1"/>
  <c r="R1275" i="1"/>
  <c r="Q1275" i="1"/>
  <c r="P1275" i="1"/>
  <c r="O1275" i="1"/>
  <c r="N1275" i="1"/>
  <c r="M1275" i="1"/>
  <c r="J1275" i="1"/>
  <c r="I1275" i="1"/>
  <c r="H1275" i="1"/>
  <c r="F1275" i="1"/>
  <c r="D1275" i="1"/>
  <c r="A1275" i="1"/>
  <c r="U1328" i="1"/>
  <c r="R1328" i="1"/>
  <c r="Q1328" i="1"/>
  <c r="P1328" i="1"/>
  <c r="O1328" i="1"/>
  <c r="N1328" i="1"/>
  <c r="M1328" i="1"/>
  <c r="K1328" i="1"/>
  <c r="J1328" i="1"/>
  <c r="I1328" i="1"/>
  <c r="H1328" i="1"/>
  <c r="F1328" i="1"/>
  <c r="E1328" i="1"/>
  <c r="D1328" i="1"/>
  <c r="B1328" i="1"/>
  <c r="A1328" i="1"/>
  <c r="U1434" i="1"/>
  <c r="R1434" i="1"/>
  <c r="Q1434" i="1"/>
  <c r="P1434" i="1"/>
  <c r="O1434" i="1"/>
  <c r="N1434" i="1"/>
  <c r="M1434" i="1"/>
  <c r="J1434" i="1"/>
  <c r="I1434" i="1"/>
  <c r="H1434" i="1"/>
  <c r="F1434" i="1"/>
  <c r="D1434" i="1"/>
  <c r="B1434" i="1"/>
  <c r="A1434" i="1"/>
  <c r="U1671" i="1"/>
  <c r="R1671" i="1"/>
  <c r="Q1671" i="1"/>
  <c r="P1671" i="1"/>
  <c r="O1671" i="1"/>
  <c r="N1671" i="1"/>
  <c r="M1671" i="1"/>
  <c r="J1671" i="1"/>
  <c r="I1671" i="1"/>
  <c r="H1671" i="1"/>
  <c r="F1671" i="1"/>
  <c r="E1671" i="1"/>
  <c r="D1671" i="1"/>
  <c r="B1671" i="1"/>
  <c r="A1671" i="1"/>
  <c r="U1969" i="1"/>
  <c r="R1969" i="1"/>
  <c r="Q1969" i="1"/>
  <c r="P1969" i="1"/>
  <c r="O1969" i="1"/>
  <c r="N1969" i="1"/>
  <c r="M1969" i="1"/>
  <c r="J1969" i="1"/>
  <c r="I1969" i="1"/>
  <c r="H1969" i="1"/>
  <c r="F1969" i="1"/>
  <c r="D1969" i="1"/>
  <c r="B1969" i="1"/>
  <c r="A1969" i="1"/>
  <c r="U2844" i="1"/>
  <c r="R2844" i="1"/>
  <c r="Q2844" i="1"/>
  <c r="P2844" i="1"/>
  <c r="O2844" i="1"/>
  <c r="N2844" i="1"/>
  <c r="M2844" i="1"/>
  <c r="K2844" i="1"/>
  <c r="J2844" i="1"/>
  <c r="I2844" i="1"/>
  <c r="H2844" i="1"/>
  <c r="F2844" i="1"/>
  <c r="D2844" i="1"/>
  <c r="B2844" i="1"/>
  <c r="A2844" i="1"/>
  <c r="U209" i="1"/>
  <c r="R209" i="1"/>
  <c r="Q209" i="1"/>
  <c r="P209" i="1"/>
  <c r="O209" i="1"/>
  <c r="N209" i="1"/>
  <c r="M209" i="1"/>
  <c r="J209" i="1"/>
  <c r="I209" i="1"/>
  <c r="H209" i="1"/>
  <c r="F209" i="1"/>
  <c r="D209" i="1"/>
  <c r="B209" i="1"/>
  <c r="A209" i="1"/>
  <c r="U2650" i="1"/>
  <c r="R2650" i="1"/>
  <c r="Q2650" i="1"/>
  <c r="P2650" i="1"/>
  <c r="O2650" i="1"/>
  <c r="N2650" i="1"/>
  <c r="M2650" i="1"/>
  <c r="K2650" i="1"/>
  <c r="J2650" i="1"/>
  <c r="I2650" i="1"/>
  <c r="H2650" i="1"/>
  <c r="F2650" i="1"/>
  <c r="D2650" i="1"/>
  <c r="B2650" i="1"/>
  <c r="A2650" i="1"/>
  <c r="U257" i="1"/>
  <c r="R257" i="1"/>
  <c r="Q257" i="1"/>
  <c r="P257" i="1"/>
  <c r="O257" i="1"/>
  <c r="N257" i="1"/>
  <c r="M257" i="1"/>
  <c r="J257" i="1"/>
  <c r="I257" i="1"/>
  <c r="H257" i="1"/>
  <c r="F257" i="1"/>
  <c r="D257" i="1"/>
  <c r="B257" i="1"/>
  <c r="A257" i="1"/>
  <c r="U503" i="1"/>
  <c r="R503" i="1"/>
  <c r="Q503" i="1"/>
  <c r="P503" i="1"/>
  <c r="O503" i="1"/>
  <c r="N503" i="1"/>
  <c r="M503" i="1"/>
  <c r="J503" i="1"/>
  <c r="I503" i="1"/>
  <c r="H503" i="1"/>
  <c r="F503" i="1"/>
  <c r="D503" i="1"/>
  <c r="B503" i="1"/>
  <c r="A503" i="1"/>
  <c r="U665" i="1"/>
  <c r="R665" i="1"/>
  <c r="Q665" i="1"/>
  <c r="P665" i="1"/>
  <c r="O665" i="1"/>
  <c r="N665" i="1"/>
  <c r="M665" i="1"/>
  <c r="J665" i="1"/>
  <c r="I665" i="1"/>
  <c r="H665" i="1"/>
  <c r="F665" i="1"/>
  <c r="D665" i="1"/>
  <c r="B665" i="1"/>
  <c r="A665" i="1"/>
  <c r="U1124" i="1"/>
  <c r="R1124" i="1"/>
  <c r="Q1124" i="1"/>
  <c r="P1124" i="1"/>
  <c r="O1124" i="1"/>
  <c r="N1124" i="1"/>
  <c r="M1124" i="1"/>
  <c r="I1124" i="1"/>
  <c r="H1124" i="1"/>
  <c r="F1124" i="1"/>
  <c r="D1124" i="1"/>
  <c r="A1124" i="1"/>
  <c r="U1380" i="1"/>
  <c r="R1380" i="1"/>
  <c r="Q1380" i="1"/>
  <c r="P1380" i="1"/>
  <c r="O1380" i="1"/>
  <c r="N1380" i="1"/>
  <c r="M1380" i="1"/>
  <c r="I1380" i="1"/>
  <c r="H1380" i="1"/>
  <c r="G1380" i="1"/>
  <c r="F1380" i="1"/>
  <c r="E1380" i="1"/>
  <c r="D1380" i="1"/>
  <c r="A1380" i="1"/>
  <c r="U1427" i="1"/>
  <c r="R1427" i="1"/>
  <c r="Q1427" i="1"/>
  <c r="P1427" i="1"/>
  <c r="O1427" i="1"/>
  <c r="N1427" i="1"/>
  <c r="M1427" i="1"/>
  <c r="J1427" i="1"/>
  <c r="I1427" i="1"/>
  <c r="H1427" i="1"/>
  <c r="F1427" i="1"/>
  <c r="D1427" i="1"/>
  <c r="B1427" i="1"/>
  <c r="A1427" i="1"/>
  <c r="U1653" i="1"/>
  <c r="R1653" i="1"/>
  <c r="Q1653" i="1"/>
  <c r="P1653" i="1"/>
  <c r="O1653" i="1"/>
  <c r="N1653" i="1"/>
  <c r="M1653" i="1"/>
  <c r="K1653" i="1"/>
  <c r="I1653" i="1"/>
  <c r="H1653" i="1"/>
  <c r="G1653" i="1"/>
  <c r="F1653" i="1"/>
  <c r="D1653" i="1"/>
  <c r="B1653" i="1"/>
  <c r="A1653" i="1"/>
  <c r="U1360" i="1"/>
  <c r="R1360" i="1"/>
  <c r="Q1360" i="1"/>
  <c r="P1360" i="1"/>
  <c r="O1360" i="1"/>
  <c r="N1360" i="1"/>
  <c r="M1360" i="1"/>
  <c r="J1360" i="1"/>
  <c r="I1360" i="1"/>
  <c r="H1360" i="1"/>
  <c r="G1360" i="1"/>
  <c r="F1360" i="1"/>
  <c r="D1360" i="1"/>
  <c r="B1360" i="1"/>
  <c r="A1360" i="1"/>
  <c r="U1728" i="1"/>
  <c r="R1728" i="1"/>
  <c r="Q1728" i="1"/>
  <c r="P1728" i="1"/>
  <c r="O1728" i="1"/>
  <c r="N1728" i="1"/>
  <c r="M1728" i="1"/>
  <c r="J1728" i="1"/>
  <c r="I1728" i="1"/>
  <c r="H1728" i="1"/>
  <c r="F1728" i="1"/>
  <c r="D1728" i="1"/>
  <c r="B1728" i="1"/>
  <c r="A1728" i="1"/>
  <c r="U469" i="1"/>
  <c r="R469" i="1"/>
  <c r="Q469" i="1"/>
  <c r="P469" i="1"/>
  <c r="O469" i="1"/>
  <c r="N469" i="1"/>
  <c r="M469" i="1"/>
  <c r="J469" i="1"/>
  <c r="I469" i="1"/>
  <c r="H469" i="1"/>
  <c r="F469" i="1"/>
  <c r="E469" i="1"/>
  <c r="D469" i="1"/>
  <c r="A469" i="1"/>
  <c r="U1207" i="1"/>
  <c r="R1207" i="1"/>
  <c r="Q1207" i="1"/>
  <c r="P1207" i="1"/>
  <c r="O1207" i="1"/>
  <c r="N1207" i="1"/>
  <c r="M1207" i="1"/>
  <c r="K1207" i="1"/>
  <c r="J1207" i="1"/>
  <c r="I1207" i="1"/>
  <c r="H1207" i="1"/>
  <c r="F1207" i="1"/>
  <c r="D1207" i="1"/>
  <c r="B1207" i="1"/>
  <c r="A1207" i="1"/>
  <c r="U1904" i="1"/>
  <c r="R1904" i="1"/>
  <c r="Q1904" i="1"/>
  <c r="P1904" i="1"/>
  <c r="O1904" i="1"/>
  <c r="N1904" i="1"/>
  <c r="M1904" i="1"/>
  <c r="J1904" i="1"/>
  <c r="I1904" i="1"/>
  <c r="H1904" i="1"/>
  <c r="F1904" i="1"/>
  <c r="D1904" i="1"/>
  <c r="B1904" i="1"/>
  <c r="A1904" i="1"/>
  <c r="U2100" i="1"/>
  <c r="R2100" i="1"/>
  <c r="Q2100" i="1"/>
  <c r="P2100" i="1"/>
  <c r="O2100" i="1"/>
  <c r="N2100" i="1"/>
  <c r="M2100" i="1"/>
  <c r="K2100" i="1"/>
  <c r="J2100" i="1"/>
  <c r="I2100" i="1"/>
  <c r="H2100" i="1"/>
  <c r="G2100" i="1"/>
  <c r="F2100" i="1"/>
  <c r="D2100" i="1"/>
  <c r="B2100" i="1"/>
  <c r="A2100" i="1"/>
  <c r="U2715" i="1"/>
  <c r="R2715" i="1"/>
  <c r="Q2715" i="1"/>
  <c r="P2715" i="1"/>
  <c r="O2715" i="1"/>
  <c r="N2715" i="1"/>
  <c r="M2715" i="1"/>
  <c r="K2715" i="1"/>
  <c r="J2715" i="1"/>
  <c r="I2715" i="1"/>
  <c r="H2715" i="1"/>
  <c r="F2715" i="1"/>
  <c r="D2715" i="1"/>
  <c r="A2715" i="1"/>
  <c r="U3060" i="1"/>
  <c r="R3060" i="1"/>
  <c r="Q3060" i="1"/>
  <c r="P3060" i="1"/>
  <c r="O3060" i="1"/>
  <c r="N3060" i="1"/>
  <c r="M3060" i="1"/>
  <c r="K3060" i="1"/>
  <c r="J3060" i="1"/>
  <c r="I3060" i="1"/>
  <c r="H3060" i="1"/>
  <c r="F3060" i="1"/>
  <c r="D3060" i="1"/>
  <c r="B3060" i="1"/>
  <c r="A3060" i="1"/>
  <c r="U3021" i="1"/>
  <c r="R3021" i="1"/>
  <c r="Q3021" i="1"/>
  <c r="P3021" i="1"/>
  <c r="O3021" i="1"/>
  <c r="N3021" i="1"/>
  <c r="M3021" i="1"/>
  <c r="K3021" i="1"/>
  <c r="J3021" i="1"/>
  <c r="I3021" i="1"/>
  <c r="H3021" i="1"/>
  <c r="F3021" i="1"/>
  <c r="D3021" i="1"/>
  <c r="B3021" i="1"/>
  <c r="A3021" i="1"/>
  <c r="U2769" i="1"/>
  <c r="R2769" i="1"/>
  <c r="Q2769" i="1"/>
  <c r="P2769" i="1"/>
  <c r="O2769" i="1"/>
  <c r="N2769" i="1"/>
  <c r="M2769" i="1"/>
  <c r="K2769" i="1"/>
  <c r="J2769" i="1"/>
  <c r="I2769" i="1"/>
  <c r="H2769" i="1"/>
  <c r="F2769" i="1"/>
  <c r="D2769" i="1"/>
  <c r="B2769" i="1"/>
  <c r="A2769" i="1"/>
  <c r="U2622" i="1"/>
  <c r="R2622" i="1"/>
  <c r="Q2622" i="1"/>
  <c r="P2622" i="1"/>
  <c r="O2622" i="1"/>
  <c r="N2622" i="1"/>
  <c r="M2622" i="1"/>
  <c r="K2622" i="1"/>
  <c r="J2622" i="1"/>
  <c r="I2622" i="1"/>
  <c r="H2622" i="1"/>
  <c r="F2622" i="1"/>
  <c r="D2622" i="1"/>
  <c r="B2622" i="1"/>
  <c r="A2622" i="1"/>
  <c r="U2758" i="1"/>
  <c r="R2758" i="1"/>
  <c r="Q2758" i="1"/>
  <c r="P2758" i="1"/>
  <c r="O2758" i="1"/>
  <c r="N2758" i="1"/>
  <c r="M2758" i="1"/>
  <c r="K2758" i="1"/>
  <c r="J2758" i="1"/>
  <c r="I2758" i="1"/>
  <c r="H2758" i="1"/>
  <c r="F2758" i="1"/>
  <c r="D2758" i="1"/>
  <c r="B2758" i="1"/>
  <c r="A2758" i="1"/>
  <c r="U3135" i="1"/>
  <c r="R3135" i="1"/>
  <c r="Q3135" i="1"/>
  <c r="P3135" i="1"/>
  <c r="O3135" i="1"/>
  <c r="N3135" i="1"/>
  <c r="M3135" i="1"/>
  <c r="J3135" i="1"/>
  <c r="I3135" i="1"/>
  <c r="H3135" i="1"/>
  <c r="F3135" i="1"/>
  <c r="D3135" i="1"/>
  <c r="B3135" i="1"/>
  <c r="A3135" i="1"/>
  <c r="U42" i="1"/>
  <c r="R42" i="1"/>
  <c r="Q42" i="1"/>
  <c r="P42" i="1"/>
  <c r="O42" i="1"/>
  <c r="N42" i="1"/>
  <c r="M42" i="1"/>
  <c r="I42" i="1"/>
  <c r="H42" i="1"/>
  <c r="F42" i="1"/>
  <c r="D42" i="1"/>
  <c r="B42" i="1"/>
  <c r="A42" i="1"/>
  <c r="U412" i="1"/>
  <c r="R412" i="1"/>
  <c r="Q412" i="1"/>
  <c r="P412" i="1"/>
  <c r="O412" i="1"/>
  <c r="N412" i="1"/>
  <c r="M412" i="1"/>
  <c r="I412" i="1"/>
  <c r="H412" i="1"/>
  <c r="F412" i="1"/>
  <c r="D412" i="1"/>
  <c r="B412" i="1"/>
  <c r="A412" i="1"/>
  <c r="U579" i="1"/>
  <c r="R579" i="1"/>
  <c r="Q579" i="1"/>
  <c r="P579" i="1"/>
  <c r="O579" i="1"/>
  <c r="N579" i="1"/>
  <c r="M579" i="1"/>
  <c r="I579" i="1"/>
  <c r="H579" i="1"/>
  <c r="F579" i="1"/>
  <c r="D579" i="1"/>
  <c r="B579" i="1"/>
  <c r="A579" i="1"/>
  <c r="U987" i="1"/>
  <c r="R987" i="1"/>
  <c r="Q987" i="1"/>
  <c r="P987" i="1"/>
  <c r="O987" i="1"/>
  <c r="N987" i="1"/>
  <c r="M987" i="1"/>
  <c r="I987" i="1"/>
  <c r="H987" i="1"/>
  <c r="F987" i="1"/>
  <c r="D987" i="1"/>
  <c r="B987" i="1"/>
  <c r="A987" i="1"/>
  <c r="U1160" i="1"/>
  <c r="R1160" i="1"/>
  <c r="Q1160" i="1"/>
  <c r="P1160" i="1"/>
  <c r="O1160" i="1"/>
  <c r="N1160" i="1"/>
  <c r="M1160" i="1"/>
  <c r="I1160" i="1"/>
  <c r="H1160" i="1"/>
  <c r="F1160" i="1"/>
  <c r="D1160" i="1"/>
  <c r="A1160" i="1"/>
  <c r="U1314" i="1"/>
  <c r="R1314" i="1"/>
  <c r="Q1314" i="1"/>
  <c r="P1314" i="1"/>
  <c r="O1314" i="1"/>
  <c r="N1314" i="1"/>
  <c r="M1314" i="1"/>
  <c r="I1314" i="1"/>
  <c r="H1314" i="1"/>
  <c r="F1314" i="1"/>
  <c r="D1314" i="1"/>
  <c r="B1314" i="1"/>
  <c r="A1314" i="1"/>
  <c r="U1273" i="1"/>
  <c r="R1273" i="1"/>
  <c r="Q1273" i="1"/>
  <c r="P1273" i="1"/>
  <c r="O1273" i="1"/>
  <c r="N1273" i="1"/>
  <c r="M1273" i="1"/>
  <c r="I1273" i="1"/>
  <c r="H1273" i="1"/>
  <c r="F1273" i="1"/>
  <c r="D1273" i="1"/>
  <c r="A1273" i="1"/>
  <c r="U1384" i="1"/>
  <c r="R1384" i="1"/>
  <c r="Q1384" i="1"/>
  <c r="P1384" i="1"/>
  <c r="O1384" i="1"/>
  <c r="N1384" i="1"/>
  <c r="M1384" i="1"/>
  <c r="I1384" i="1"/>
  <c r="H1384" i="1"/>
  <c r="F1384" i="1"/>
  <c r="D1384" i="1"/>
  <c r="B1384" i="1"/>
  <c r="A1384" i="1"/>
  <c r="U1484" i="1"/>
  <c r="R1484" i="1"/>
  <c r="Q1484" i="1"/>
  <c r="P1484" i="1"/>
  <c r="O1484" i="1"/>
  <c r="N1484" i="1"/>
  <c r="M1484" i="1"/>
  <c r="I1484" i="1"/>
  <c r="H1484" i="1"/>
  <c r="F1484" i="1"/>
  <c r="D1484" i="1"/>
  <c r="B1484" i="1"/>
  <c r="A1484" i="1"/>
  <c r="U1878" i="1"/>
  <c r="R1878" i="1"/>
  <c r="Q1878" i="1"/>
  <c r="P1878" i="1"/>
  <c r="O1878" i="1"/>
  <c r="N1878" i="1"/>
  <c r="M1878" i="1"/>
  <c r="J1878" i="1"/>
  <c r="I1878" i="1"/>
  <c r="H1878" i="1"/>
  <c r="F1878" i="1"/>
  <c r="E1878" i="1"/>
  <c r="D1878" i="1"/>
  <c r="B1878" i="1"/>
  <c r="A1878" i="1"/>
  <c r="U2383" i="1"/>
  <c r="R2383" i="1"/>
  <c r="Q2383" i="1"/>
  <c r="P2383" i="1"/>
  <c r="O2383" i="1"/>
  <c r="N2383" i="1"/>
  <c r="M2383" i="1"/>
  <c r="J2383" i="1"/>
  <c r="I2383" i="1"/>
  <c r="H2383" i="1"/>
  <c r="F2383" i="1"/>
  <c r="D2383" i="1"/>
  <c r="B2383" i="1"/>
  <c r="A2383" i="1"/>
  <c r="U2358" i="1"/>
  <c r="R2358" i="1"/>
  <c r="Q2358" i="1"/>
  <c r="P2358" i="1"/>
  <c r="O2358" i="1"/>
  <c r="N2358" i="1"/>
  <c r="M2358" i="1"/>
  <c r="K2358" i="1"/>
  <c r="J2358" i="1"/>
  <c r="I2358" i="1"/>
  <c r="H2358" i="1"/>
  <c r="F2358" i="1"/>
  <c r="D2358" i="1"/>
  <c r="B2358" i="1"/>
  <c r="A2358" i="1"/>
  <c r="U2347" i="1"/>
  <c r="R2347" i="1"/>
  <c r="Q2347" i="1"/>
  <c r="P2347" i="1"/>
  <c r="O2347" i="1"/>
  <c r="N2347" i="1"/>
  <c r="M2347" i="1"/>
  <c r="K2347" i="1"/>
  <c r="J2347" i="1"/>
  <c r="I2347" i="1"/>
  <c r="H2347" i="1"/>
  <c r="F2347" i="1"/>
  <c r="E2347" i="1"/>
  <c r="D2347" i="1"/>
  <c r="B2347" i="1"/>
  <c r="A2347" i="1"/>
  <c r="U2652" i="1"/>
  <c r="R2652" i="1"/>
  <c r="Q2652" i="1"/>
  <c r="P2652" i="1"/>
  <c r="O2652" i="1"/>
  <c r="N2652" i="1"/>
  <c r="M2652" i="1"/>
  <c r="K2652" i="1"/>
  <c r="J2652" i="1"/>
  <c r="I2652" i="1"/>
  <c r="H2652" i="1"/>
  <c r="F2652" i="1"/>
  <c r="D2652" i="1"/>
  <c r="B2652" i="1"/>
  <c r="A2652" i="1"/>
  <c r="U2193" i="1"/>
  <c r="R2193" i="1"/>
  <c r="Q2193" i="1"/>
  <c r="P2193" i="1"/>
  <c r="O2193" i="1"/>
  <c r="N2193" i="1"/>
  <c r="M2193" i="1"/>
  <c r="J2193" i="1"/>
  <c r="I2193" i="1"/>
  <c r="H2193" i="1"/>
  <c r="F2193" i="1"/>
  <c r="D2193" i="1"/>
  <c r="B2193" i="1"/>
  <c r="A2193" i="1"/>
  <c r="U2285" i="1"/>
  <c r="R2285" i="1"/>
  <c r="Q2285" i="1"/>
  <c r="P2285" i="1"/>
  <c r="O2285" i="1"/>
  <c r="N2285" i="1"/>
  <c r="M2285" i="1"/>
  <c r="I2285" i="1"/>
  <c r="H2285" i="1"/>
  <c r="F2285" i="1"/>
  <c r="E2285" i="1"/>
  <c r="D2285" i="1"/>
  <c r="B2285" i="1"/>
  <c r="A2285" i="1"/>
  <c r="U2320" i="1"/>
  <c r="R2320" i="1"/>
  <c r="Q2320" i="1"/>
  <c r="P2320" i="1"/>
  <c r="O2320" i="1"/>
  <c r="N2320" i="1"/>
  <c r="M2320" i="1"/>
  <c r="K2320" i="1"/>
  <c r="J2320" i="1"/>
  <c r="I2320" i="1"/>
  <c r="H2320" i="1"/>
  <c r="F2320" i="1"/>
  <c r="D2320" i="1"/>
  <c r="B2320" i="1"/>
  <c r="A2320" i="1"/>
  <c r="U468" i="1"/>
  <c r="R468" i="1"/>
  <c r="Q468" i="1"/>
  <c r="P468" i="1"/>
  <c r="O468" i="1"/>
  <c r="N468" i="1"/>
  <c r="M468" i="1"/>
  <c r="J468" i="1"/>
  <c r="I468" i="1"/>
  <c r="H468" i="1"/>
  <c r="F468" i="1"/>
  <c r="D468" i="1"/>
  <c r="B468" i="1"/>
  <c r="A468" i="1"/>
  <c r="U438" i="1"/>
  <c r="R438" i="1"/>
  <c r="Q438" i="1"/>
  <c r="P438" i="1"/>
  <c r="O438" i="1"/>
  <c r="N438" i="1"/>
  <c r="M438" i="1"/>
  <c r="J438" i="1"/>
  <c r="I438" i="1"/>
  <c r="H438" i="1"/>
  <c r="F438" i="1"/>
  <c r="D438" i="1"/>
  <c r="B438" i="1"/>
  <c r="A438" i="1"/>
  <c r="U1171" i="1"/>
  <c r="R1171" i="1"/>
  <c r="Q1171" i="1"/>
  <c r="P1171" i="1"/>
  <c r="O1171" i="1"/>
  <c r="N1171" i="1"/>
  <c r="M1171" i="1"/>
  <c r="I1171" i="1"/>
  <c r="H1171" i="1"/>
  <c r="F1171" i="1"/>
  <c r="D1171" i="1"/>
  <c r="B1171" i="1"/>
  <c r="A1171" i="1"/>
  <c r="U1289" i="1"/>
  <c r="R1289" i="1"/>
  <c r="Q1289" i="1"/>
  <c r="P1289" i="1"/>
  <c r="O1289" i="1"/>
  <c r="N1289" i="1"/>
  <c r="M1289" i="1"/>
  <c r="J1289" i="1"/>
  <c r="I1289" i="1"/>
  <c r="H1289" i="1"/>
  <c r="F1289" i="1"/>
  <c r="D1289" i="1"/>
  <c r="B1289" i="1"/>
  <c r="A1289" i="1"/>
  <c r="U2331" i="1"/>
  <c r="R2331" i="1"/>
  <c r="Q2331" i="1"/>
  <c r="P2331" i="1"/>
  <c r="O2331" i="1"/>
  <c r="N2331" i="1"/>
  <c r="M2331" i="1"/>
  <c r="K2331" i="1"/>
  <c r="J2331" i="1"/>
  <c r="I2331" i="1"/>
  <c r="H2331" i="1"/>
  <c r="F2331" i="1"/>
  <c r="E2331" i="1"/>
  <c r="D2331" i="1"/>
  <c r="B2331" i="1"/>
  <c r="A2331" i="1"/>
  <c r="U2663" i="1"/>
  <c r="R2663" i="1"/>
  <c r="Q2663" i="1"/>
  <c r="P2663" i="1"/>
  <c r="O2663" i="1"/>
  <c r="N2663" i="1"/>
  <c r="M2663" i="1"/>
  <c r="J2663" i="1"/>
  <c r="I2663" i="1"/>
  <c r="H2663" i="1"/>
  <c r="F2663" i="1"/>
  <c r="D2663" i="1"/>
  <c r="A2663" i="1"/>
  <c r="U3057" i="1"/>
  <c r="R3057" i="1"/>
  <c r="Q3057" i="1"/>
  <c r="P3057" i="1"/>
  <c r="O3057" i="1"/>
  <c r="N3057" i="1"/>
  <c r="M3057" i="1"/>
  <c r="J3057" i="1"/>
  <c r="I3057" i="1"/>
  <c r="H3057" i="1"/>
  <c r="F3057" i="1"/>
  <c r="D3057" i="1"/>
  <c r="A3057" i="1"/>
  <c r="U3043" i="1"/>
  <c r="R3043" i="1"/>
  <c r="Q3043" i="1"/>
  <c r="P3043" i="1"/>
  <c r="O3043" i="1"/>
  <c r="N3043" i="1"/>
  <c r="M3043" i="1"/>
  <c r="J3043" i="1"/>
  <c r="I3043" i="1"/>
  <c r="H3043" i="1"/>
  <c r="F3043" i="1"/>
  <c r="D3043" i="1"/>
  <c r="A3043" i="1"/>
  <c r="U3018" i="1"/>
  <c r="R3018" i="1"/>
  <c r="Q3018" i="1"/>
  <c r="P3018" i="1"/>
  <c r="O3018" i="1"/>
  <c r="N3018" i="1"/>
  <c r="M3018" i="1"/>
  <c r="K3018" i="1"/>
  <c r="J3018" i="1"/>
  <c r="I3018" i="1"/>
  <c r="H3018" i="1"/>
  <c r="F3018" i="1"/>
  <c r="D3018" i="1"/>
  <c r="A3018" i="1"/>
  <c r="U3009" i="1"/>
  <c r="R3009" i="1"/>
  <c r="Q3009" i="1"/>
  <c r="P3009" i="1"/>
  <c r="O3009" i="1"/>
  <c r="N3009" i="1"/>
  <c r="M3009" i="1"/>
  <c r="J3009" i="1"/>
  <c r="I3009" i="1"/>
  <c r="H3009" i="1"/>
  <c r="F3009" i="1"/>
  <c r="D3009" i="1"/>
  <c r="A3009" i="1"/>
  <c r="U3116" i="1"/>
  <c r="R3116" i="1"/>
  <c r="Q3116" i="1"/>
  <c r="P3116" i="1"/>
  <c r="O3116" i="1"/>
  <c r="N3116" i="1"/>
  <c r="M3116" i="1"/>
  <c r="J3116" i="1"/>
  <c r="I3116" i="1"/>
  <c r="H3116" i="1"/>
  <c r="F3116" i="1"/>
  <c r="D3116" i="1"/>
  <c r="A3116" i="1"/>
  <c r="U3045" i="1"/>
  <c r="R3045" i="1"/>
  <c r="Q3045" i="1"/>
  <c r="P3045" i="1"/>
  <c r="O3045" i="1"/>
  <c r="N3045" i="1"/>
  <c r="M3045" i="1"/>
  <c r="J3045" i="1"/>
  <c r="I3045" i="1"/>
  <c r="H3045" i="1"/>
  <c r="F3045" i="1"/>
  <c r="D3045" i="1"/>
  <c r="A3045" i="1"/>
  <c r="U3041" i="1"/>
  <c r="R3041" i="1"/>
  <c r="Q3041" i="1"/>
  <c r="P3041" i="1"/>
  <c r="O3041" i="1"/>
  <c r="N3041" i="1"/>
  <c r="M3041" i="1"/>
  <c r="J3041" i="1"/>
  <c r="I3041" i="1"/>
  <c r="H3041" i="1"/>
  <c r="F3041" i="1"/>
  <c r="D3041" i="1"/>
  <c r="B3041" i="1"/>
  <c r="A3041" i="1"/>
  <c r="U3127" i="1"/>
  <c r="R3127" i="1"/>
  <c r="Q3127" i="1"/>
  <c r="P3127" i="1"/>
  <c r="O3127" i="1"/>
  <c r="N3127" i="1"/>
  <c r="M3127" i="1"/>
  <c r="J3127" i="1"/>
  <c r="I3127" i="1"/>
  <c r="H3127" i="1"/>
  <c r="F3127" i="1"/>
  <c r="D3127" i="1"/>
  <c r="B3127" i="1"/>
  <c r="A3127" i="1"/>
  <c r="U3178" i="1"/>
  <c r="R3178" i="1"/>
  <c r="Q3178" i="1"/>
  <c r="P3178" i="1"/>
  <c r="O3178" i="1"/>
  <c r="N3178" i="1"/>
  <c r="M3178" i="1"/>
  <c r="J3178" i="1"/>
  <c r="I3178" i="1"/>
  <c r="H3178" i="1"/>
  <c r="F3178" i="1"/>
  <c r="D3178" i="1"/>
  <c r="B3178" i="1"/>
  <c r="A3178" i="1"/>
  <c r="U3142" i="1"/>
  <c r="R3142" i="1"/>
  <c r="Q3142" i="1"/>
  <c r="P3142" i="1"/>
  <c r="O3142" i="1"/>
  <c r="N3142" i="1"/>
  <c r="M3142" i="1"/>
  <c r="J3142" i="1"/>
  <c r="I3142" i="1"/>
  <c r="H3142" i="1"/>
  <c r="F3142" i="1"/>
  <c r="D3142" i="1"/>
  <c r="B3142" i="1"/>
  <c r="A3142" i="1"/>
  <c r="U28" i="1"/>
  <c r="R28" i="1"/>
  <c r="Q28" i="1"/>
  <c r="P28" i="1"/>
  <c r="O28" i="1"/>
  <c r="N28" i="1"/>
  <c r="M28" i="1"/>
  <c r="I28" i="1"/>
  <c r="H28" i="1"/>
  <c r="G28" i="1"/>
  <c r="F28" i="1"/>
  <c r="D28" i="1"/>
  <c r="B28" i="1"/>
  <c r="A28" i="1"/>
  <c r="U67" i="1"/>
  <c r="R67" i="1"/>
  <c r="Q67" i="1"/>
  <c r="P67" i="1"/>
  <c r="O67" i="1"/>
  <c r="N67" i="1"/>
  <c r="M67" i="1"/>
  <c r="I67" i="1"/>
  <c r="H67" i="1"/>
  <c r="F67" i="1"/>
  <c r="D67" i="1"/>
  <c r="B67" i="1"/>
  <c r="A67" i="1"/>
  <c r="U197" i="1"/>
  <c r="R197" i="1"/>
  <c r="Q197" i="1"/>
  <c r="P197" i="1"/>
  <c r="O197" i="1"/>
  <c r="N197" i="1"/>
  <c r="M197" i="1"/>
  <c r="I197" i="1"/>
  <c r="H197" i="1"/>
  <c r="F197" i="1"/>
  <c r="D197" i="1"/>
  <c r="A197" i="1"/>
  <c r="U295" i="1"/>
  <c r="R295" i="1"/>
  <c r="Q295" i="1"/>
  <c r="P295" i="1"/>
  <c r="O295" i="1"/>
  <c r="N295" i="1"/>
  <c r="M295" i="1"/>
  <c r="I295" i="1"/>
  <c r="H295" i="1"/>
  <c r="F295" i="1"/>
  <c r="D295" i="1"/>
  <c r="A295" i="1"/>
  <c r="U1513" i="1"/>
  <c r="R1513" i="1"/>
  <c r="Q1513" i="1"/>
  <c r="P1513" i="1"/>
  <c r="O1513" i="1"/>
  <c r="N1513" i="1"/>
  <c r="M1513" i="1"/>
  <c r="J1513" i="1"/>
  <c r="I1513" i="1"/>
  <c r="H1513" i="1"/>
  <c r="F1513" i="1"/>
  <c r="D1513" i="1"/>
  <c r="B1513" i="1"/>
  <c r="A1513" i="1"/>
  <c r="U2731" i="1"/>
  <c r="R2731" i="1"/>
  <c r="Q2731" i="1"/>
  <c r="P2731" i="1"/>
  <c r="O2731" i="1"/>
  <c r="N2731" i="1"/>
  <c r="M2731" i="1"/>
  <c r="K2731" i="1"/>
  <c r="J2731" i="1"/>
  <c r="I2731" i="1"/>
  <c r="H2731" i="1"/>
  <c r="F2731" i="1"/>
  <c r="D2731" i="1"/>
  <c r="B2731" i="1"/>
  <c r="A2731" i="1"/>
  <c r="U3165" i="1"/>
  <c r="R3165" i="1"/>
  <c r="Q3165" i="1"/>
  <c r="P3165" i="1"/>
  <c r="O3165" i="1"/>
  <c r="N3165" i="1"/>
  <c r="M3165" i="1"/>
  <c r="K3165" i="1"/>
  <c r="J3165" i="1"/>
  <c r="I3165" i="1"/>
  <c r="H3165" i="1"/>
  <c r="F3165" i="1"/>
  <c r="E3165" i="1"/>
  <c r="D3165" i="1"/>
  <c r="B3165" i="1"/>
  <c r="A3165" i="1"/>
  <c r="U3164" i="1"/>
  <c r="R3164" i="1"/>
  <c r="Q3164" i="1"/>
  <c r="P3164" i="1"/>
  <c r="O3164" i="1"/>
  <c r="N3164" i="1"/>
  <c r="M3164" i="1"/>
  <c r="K3164" i="1"/>
  <c r="J3164" i="1"/>
  <c r="I3164" i="1"/>
  <c r="H3164" i="1"/>
  <c r="F3164" i="1"/>
  <c r="D3164" i="1"/>
  <c r="B3164" i="1"/>
  <c r="A3164" i="1"/>
  <c r="U2298" i="1"/>
  <c r="R2298" i="1"/>
  <c r="Q2298" i="1"/>
  <c r="P2298" i="1"/>
  <c r="O2298" i="1"/>
  <c r="N2298" i="1"/>
  <c r="M2298" i="1"/>
  <c r="K2298" i="1"/>
  <c r="J2298" i="1"/>
  <c r="I2298" i="1"/>
  <c r="H2298" i="1"/>
  <c r="F2298" i="1"/>
  <c r="D2298" i="1"/>
  <c r="B2298" i="1"/>
  <c r="A2298" i="1"/>
  <c r="U2493" i="1"/>
  <c r="R2493" i="1"/>
  <c r="Q2493" i="1"/>
  <c r="P2493" i="1"/>
  <c r="O2493" i="1"/>
  <c r="N2493" i="1"/>
  <c r="M2493" i="1"/>
  <c r="K2493" i="1"/>
  <c r="J2493" i="1"/>
  <c r="I2493" i="1"/>
  <c r="H2493" i="1"/>
  <c r="F2493" i="1"/>
  <c r="D2493" i="1"/>
  <c r="B2493" i="1"/>
  <c r="A2493" i="1"/>
  <c r="U3000" i="1"/>
  <c r="R3000" i="1"/>
  <c r="Q3000" i="1"/>
  <c r="P3000" i="1"/>
  <c r="O3000" i="1"/>
  <c r="N3000" i="1"/>
  <c r="M3000" i="1"/>
  <c r="K3000" i="1"/>
  <c r="J3000" i="1"/>
  <c r="I3000" i="1"/>
  <c r="H3000" i="1"/>
  <c r="F3000" i="1"/>
  <c r="D3000" i="1"/>
  <c r="B3000" i="1"/>
  <c r="A3000" i="1"/>
  <c r="U3129" i="1"/>
  <c r="R3129" i="1"/>
  <c r="Q3129" i="1"/>
  <c r="P3129" i="1"/>
  <c r="O3129" i="1"/>
  <c r="N3129" i="1"/>
  <c r="M3129" i="1"/>
  <c r="K3129" i="1"/>
  <c r="J3129" i="1"/>
  <c r="I3129" i="1"/>
  <c r="H3129" i="1"/>
  <c r="F3129" i="1"/>
  <c r="D3129" i="1"/>
  <c r="B3129" i="1"/>
  <c r="A3129" i="1"/>
  <c r="U2924" i="1"/>
  <c r="R2924" i="1"/>
  <c r="Q2924" i="1"/>
  <c r="P2924" i="1"/>
  <c r="O2924" i="1"/>
  <c r="N2924" i="1"/>
  <c r="M2924" i="1"/>
  <c r="K2924" i="1"/>
  <c r="J2924" i="1"/>
  <c r="I2924" i="1"/>
  <c r="H2924" i="1"/>
  <c r="F2924" i="1"/>
  <c r="D2924" i="1"/>
  <c r="B2924" i="1"/>
  <c r="A2924" i="1"/>
  <c r="U2644" i="1"/>
  <c r="R2644" i="1"/>
  <c r="Q2644" i="1"/>
  <c r="P2644" i="1"/>
  <c r="O2644" i="1"/>
  <c r="N2644" i="1"/>
  <c r="M2644" i="1"/>
  <c r="J2644" i="1"/>
  <c r="I2644" i="1"/>
  <c r="H2644" i="1"/>
  <c r="F2644" i="1"/>
  <c r="D2644" i="1"/>
  <c r="B2644" i="1"/>
  <c r="A2644" i="1"/>
  <c r="U2770" i="1"/>
  <c r="R2770" i="1"/>
  <c r="Q2770" i="1"/>
  <c r="P2770" i="1"/>
  <c r="O2770" i="1"/>
  <c r="N2770" i="1"/>
  <c r="M2770" i="1"/>
  <c r="J2770" i="1"/>
  <c r="I2770" i="1"/>
  <c r="H2770" i="1"/>
  <c r="F2770" i="1"/>
  <c r="D2770" i="1"/>
  <c r="B2770" i="1"/>
  <c r="A2770" i="1"/>
  <c r="U965" i="1"/>
  <c r="R965" i="1"/>
  <c r="Q965" i="1"/>
  <c r="P965" i="1"/>
  <c r="O965" i="1"/>
  <c r="N965" i="1"/>
  <c r="M965" i="1"/>
  <c r="J965" i="1"/>
  <c r="I965" i="1"/>
  <c r="H965" i="1"/>
  <c r="F965" i="1"/>
  <c r="D965" i="1"/>
  <c r="B965" i="1"/>
  <c r="A965" i="1"/>
  <c r="U1517" i="1"/>
  <c r="R1517" i="1"/>
  <c r="Q1517" i="1"/>
  <c r="P1517" i="1"/>
  <c r="O1517" i="1"/>
  <c r="N1517" i="1"/>
  <c r="M1517" i="1"/>
  <c r="I1517" i="1"/>
  <c r="H1517" i="1"/>
  <c r="F1517" i="1"/>
  <c r="D1517" i="1"/>
  <c r="B1517" i="1"/>
  <c r="A1517" i="1"/>
  <c r="U2059" i="1"/>
  <c r="R2059" i="1"/>
  <c r="Q2059" i="1"/>
  <c r="P2059" i="1"/>
  <c r="O2059" i="1"/>
  <c r="N2059" i="1"/>
  <c r="M2059" i="1"/>
  <c r="I2059" i="1"/>
  <c r="H2059" i="1"/>
  <c r="F2059" i="1"/>
  <c r="E2059" i="1"/>
  <c r="D2059" i="1"/>
  <c r="A2059" i="1"/>
  <c r="U2032" i="1"/>
  <c r="R2032" i="1"/>
  <c r="Q2032" i="1"/>
  <c r="P2032" i="1"/>
  <c r="O2032" i="1"/>
  <c r="N2032" i="1"/>
  <c r="M2032" i="1"/>
  <c r="K2032" i="1"/>
  <c r="J2032" i="1"/>
  <c r="I2032" i="1"/>
  <c r="H2032" i="1"/>
  <c r="G2032" i="1"/>
  <c r="F2032" i="1"/>
  <c r="D2032" i="1"/>
  <c r="B2032" i="1"/>
  <c r="A2032" i="1"/>
  <c r="U2094" i="1"/>
  <c r="R2094" i="1"/>
  <c r="Q2094" i="1"/>
  <c r="P2094" i="1"/>
  <c r="O2094" i="1"/>
  <c r="N2094" i="1"/>
  <c r="M2094" i="1"/>
  <c r="K2094" i="1"/>
  <c r="J2094" i="1"/>
  <c r="I2094" i="1"/>
  <c r="H2094" i="1"/>
  <c r="G2094" i="1"/>
  <c r="F2094" i="1"/>
  <c r="D2094" i="1"/>
  <c r="B2094" i="1"/>
  <c r="A2094" i="1"/>
  <c r="U2197" i="1"/>
  <c r="R2197" i="1"/>
  <c r="Q2197" i="1"/>
  <c r="P2197" i="1"/>
  <c r="O2197" i="1"/>
  <c r="N2197" i="1"/>
  <c r="M2197" i="1"/>
  <c r="K2197" i="1"/>
  <c r="J2197" i="1"/>
  <c r="I2197" i="1"/>
  <c r="H2197" i="1"/>
  <c r="F2197" i="1"/>
  <c r="D2197" i="1"/>
  <c r="B2197" i="1"/>
  <c r="A2197" i="1"/>
  <c r="U3016" i="1"/>
  <c r="R3016" i="1"/>
  <c r="Q3016" i="1"/>
  <c r="P3016" i="1"/>
  <c r="O3016" i="1"/>
  <c r="N3016" i="1"/>
  <c r="M3016" i="1"/>
  <c r="K3016" i="1"/>
  <c r="J3016" i="1"/>
  <c r="I3016" i="1"/>
  <c r="H3016" i="1"/>
  <c r="F3016" i="1"/>
  <c r="D3016" i="1"/>
  <c r="B3016" i="1"/>
  <c r="A3016" i="1"/>
  <c r="U204" i="1"/>
  <c r="R204" i="1"/>
  <c r="Q204" i="1"/>
  <c r="P204" i="1"/>
  <c r="O204" i="1"/>
  <c r="N204" i="1"/>
  <c r="M204" i="1"/>
  <c r="J204" i="1"/>
  <c r="I204" i="1"/>
  <c r="H204" i="1"/>
  <c r="F204" i="1"/>
  <c r="D204" i="1"/>
  <c r="B204" i="1"/>
  <c r="A204" i="1"/>
  <c r="U564" i="1"/>
  <c r="R564" i="1"/>
  <c r="Q564" i="1"/>
  <c r="P564" i="1"/>
  <c r="O564" i="1"/>
  <c r="N564" i="1"/>
  <c r="M564" i="1"/>
  <c r="I564" i="1"/>
  <c r="H564" i="1"/>
  <c r="F564" i="1"/>
  <c r="D564" i="1"/>
  <c r="B564" i="1"/>
  <c r="A564" i="1"/>
  <c r="U710" i="1"/>
  <c r="R710" i="1"/>
  <c r="Q710" i="1"/>
  <c r="P710" i="1"/>
  <c r="O710" i="1"/>
  <c r="N710" i="1"/>
  <c r="M710" i="1"/>
  <c r="I710" i="1"/>
  <c r="H710" i="1"/>
  <c r="F710" i="1"/>
  <c r="D710" i="1"/>
  <c r="B710" i="1"/>
  <c r="A710" i="1"/>
  <c r="U810" i="1"/>
  <c r="R810" i="1"/>
  <c r="Q810" i="1"/>
  <c r="P810" i="1"/>
  <c r="O810" i="1"/>
  <c r="N810" i="1"/>
  <c r="M810" i="1"/>
  <c r="J810" i="1"/>
  <c r="I810" i="1"/>
  <c r="H810" i="1"/>
  <c r="G810" i="1"/>
  <c r="F810" i="1"/>
  <c r="D810" i="1"/>
  <c r="B810" i="1"/>
  <c r="A810" i="1"/>
  <c r="U931" i="1"/>
  <c r="R931" i="1"/>
  <c r="Q931" i="1"/>
  <c r="P931" i="1"/>
  <c r="O931" i="1"/>
  <c r="N931" i="1"/>
  <c r="M931" i="1"/>
  <c r="J931" i="1"/>
  <c r="I931" i="1"/>
  <c r="H931" i="1"/>
  <c r="F931" i="1"/>
  <c r="D931" i="1"/>
  <c r="B931" i="1"/>
  <c r="A931" i="1"/>
  <c r="U1037" i="1"/>
  <c r="R1037" i="1"/>
  <c r="Q1037" i="1"/>
  <c r="P1037" i="1"/>
  <c r="O1037" i="1"/>
  <c r="N1037" i="1"/>
  <c r="M1037" i="1"/>
  <c r="J1037" i="1"/>
  <c r="I1037" i="1"/>
  <c r="H1037" i="1"/>
  <c r="F1037" i="1"/>
  <c r="D1037" i="1"/>
  <c r="B1037" i="1"/>
  <c r="A1037" i="1"/>
  <c r="U680" i="1"/>
  <c r="R680" i="1"/>
  <c r="Q680" i="1"/>
  <c r="P680" i="1"/>
  <c r="O680" i="1"/>
  <c r="N680" i="1"/>
  <c r="M680" i="1"/>
  <c r="J680" i="1"/>
  <c r="I680" i="1"/>
  <c r="H680" i="1"/>
  <c r="F680" i="1"/>
  <c r="D680" i="1"/>
  <c r="B680" i="1"/>
  <c r="A680" i="1"/>
  <c r="U1109" i="1"/>
  <c r="R1109" i="1"/>
  <c r="Q1109" i="1"/>
  <c r="P1109" i="1"/>
  <c r="O1109" i="1"/>
  <c r="N1109" i="1"/>
  <c r="M1109" i="1"/>
  <c r="J1109" i="1"/>
  <c r="I1109" i="1"/>
  <c r="H1109" i="1"/>
  <c r="F1109" i="1"/>
  <c r="D1109" i="1"/>
  <c r="B1109" i="1"/>
  <c r="A1109" i="1"/>
  <c r="U1108" i="1"/>
  <c r="R1108" i="1"/>
  <c r="Q1108" i="1"/>
  <c r="P1108" i="1"/>
  <c r="O1108" i="1"/>
  <c r="N1108" i="1"/>
  <c r="M1108" i="1"/>
  <c r="J1108" i="1"/>
  <c r="I1108" i="1"/>
  <c r="H1108" i="1"/>
  <c r="F1108" i="1"/>
  <c r="D1108" i="1"/>
  <c r="B1108" i="1"/>
  <c r="A1108" i="1"/>
  <c r="U1188" i="1"/>
  <c r="R1188" i="1"/>
  <c r="Q1188" i="1"/>
  <c r="P1188" i="1"/>
  <c r="O1188" i="1"/>
  <c r="N1188" i="1"/>
  <c r="M1188" i="1"/>
  <c r="J1188" i="1"/>
  <c r="I1188" i="1"/>
  <c r="H1188" i="1"/>
  <c r="G1188" i="1"/>
  <c r="F1188" i="1"/>
  <c r="D1188" i="1"/>
  <c r="B1188" i="1"/>
  <c r="A1188" i="1"/>
  <c r="U1177" i="1"/>
  <c r="R1177" i="1"/>
  <c r="Q1177" i="1"/>
  <c r="P1177" i="1"/>
  <c r="O1177" i="1"/>
  <c r="N1177" i="1"/>
  <c r="M1177" i="1"/>
  <c r="J1177" i="1"/>
  <c r="I1177" i="1"/>
  <c r="H1177" i="1"/>
  <c r="F1177" i="1"/>
  <c r="D1177" i="1"/>
  <c r="B1177" i="1"/>
  <c r="A1177" i="1"/>
  <c r="U1251" i="1"/>
  <c r="R1251" i="1"/>
  <c r="Q1251" i="1"/>
  <c r="P1251" i="1"/>
  <c r="O1251" i="1"/>
  <c r="N1251" i="1"/>
  <c r="M1251" i="1"/>
  <c r="J1251" i="1"/>
  <c r="I1251" i="1"/>
  <c r="H1251" i="1"/>
  <c r="F1251" i="1"/>
  <c r="D1251" i="1"/>
  <c r="B1251" i="1"/>
  <c r="A1251" i="1"/>
  <c r="U1336" i="1"/>
  <c r="R1336" i="1"/>
  <c r="Q1336" i="1"/>
  <c r="P1336" i="1"/>
  <c r="O1336" i="1"/>
  <c r="N1336" i="1"/>
  <c r="M1336" i="1"/>
  <c r="K1336" i="1"/>
  <c r="J1336" i="1"/>
  <c r="I1336" i="1"/>
  <c r="H1336" i="1"/>
  <c r="F1336" i="1"/>
  <c r="D1336" i="1"/>
  <c r="B1336" i="1"/>
  <c r="A1336" i="1"/>
  <c r="U1710" i="1"/>
  <c r="R1710" i="1"/>
  <c r="Q1710" i="1"/>
  <c r="P1710" i="1"/>
  <c r="O1710" i="1"/>
  <c r="N1710" i="1"/>
  <c r="M1710" i="1"/>
  <c r="K1710" i="1"/>
  <c r="J1710" i="1"/>
  <c r="I1710" i="1"/>
  <c r="H1710" i="1"/>
  <c r="F1710" i="1"/>
  <c r="D1710" i="1"/>
  <c r="B1710" i="1"/>
  <c r="A1710" i="1"/>
  <c r="U2959" i="1"/>
  <c r="R2959" i="1"/>
  <c r="Q2959" i="1"/>
  <c r="P2959" i="1"/>
  <c r="O2959" i="1"/>
  <c r="N2959" i="1"/>
  <c r="M2959" i="1"/>
  <c r="K2959" i="1"/>
  <c r="J2959" i="1"/>
  <c r="I2959" i="1"/>
  <c r="H2959" i="1"/>
  <c r="F2959" i="1"/>
  <c r="D2959" i="1"/>
  <c r="B2959" i="1"/>
  <c r="A2959" i="1"/>
  <c r="U2421" i="1"/>
  <c r="R2421" i="1"/>
  <c r="Q2421" i="1"/>
  <c r="P2421" i="1"/>
  <c r="O2421" i="1"/>
  <c r="N2421" i="1"/>
  <c r="M2421" i="1"/>
  <c r="K2421" i="1"/>
  <c r="J2421" i="1"/>
  <c r="I2421" i="1"/>
  <c r="H2421" i="1"/>
  <c r="F2421" i="1"/>
  <c r="D2421" i="1"/>
  <c r="B2421" i="1"/>
  <c r="A2421" i="1"/>
  <c r="U2669" i="1"/>
  <c r="R2669" i="1"/>
  <c r="Q2669" i="1"/>
  <c r="P2669" i="1"/>
  <c r="O2669" i="1"/>
  <c r="N2669" i="1"/>
  <c r="M2669" i="1"/>
  <c r="J2669" i="1"/>
  <c r="I2669" i="1"/>
  <c r="H2669" i="1"/>
  <c r="F2669" i="1"/>
  <c r="D2669" i="1"/>
  <c r="B2669" i="1"/>
  <c r="A2669" i="1"/>
  <c r="U2632" i="1"/>
  <c r="R2632" i="1"/>
  <c r="Q2632" i="1"/>
  <c r="P2632" i="1"/>
  <c r="O2632" i="1"/>
  <c r="N2632" i="1"/>
  <c r="M2632" i="1"/>
  <c r="J2632" i="1"/>
  <c r="I2632" i="1"/>
  <c r="H2632" i="1"/>
  <c r="F2632" i="1"/>
  <c r="D2632" i="1"/>
  <c r="B2632" i="1"/>
  <c r="A2632" i="1"/>
  <c r="U2286" i="1"/>
  <c r="R2286" i="1"/>
  <c r="Q2286" i="1"/>
  <c r="P2286" i="1"/>
  <c r="O2286" i="1"/>
  <c r="N2286" i="1"/>
  <c r="M2286" i="1"/>
  <c r="K2286" i="1"/>
  <c r="J2286" i="1"/>
  <c r="I2286" i="1"/>
  <c r="H2286" i="1"/>
  <c r="F2286" i="1"/>
  <c r="D2286" i="1"/>
  <c r="B2286" i="1"/>
  <c r="A2286" i="1"/>
  <c r="U2417" i="1"/>
  <c r="R2417" i="1"/>
  <c r="Q2417" i="1"/>
  <c r="P2417" i="1"/>
  <c r="O2417" i="1"/>
  <c r="N2417" i="1"/>
  <c r="M2417" i="1"/>
  <c r="J2417" i="1"/>
  <c r="I2417" i="1"/>
  <c r="H2417" i="1"/>
  <c r="F2417" i="1"/>
  <c r="D2417" i="1"/>
  <c r="B2417" i="1"/>
  <c r="A2417" i="1"/>
  <c r="U2295" i="1"/>
  <c r="R2295" i="1"/>
  <c r="Q2295" i="1"/>
  <c r="P2295" i="1"/>
  <c r="O2295" i="1"/>
  <c r="N2295" i="1"/>
  <c r="M2295" i="1"/>
  <c r="K2295" i="1"/>
  <c r="J2295" i="1"/>
  <c r="I2295" i="1"/>
  <c r="H2295" i="1"/>
  <c r="F2295" i="1"/>
  <c r="D2295" i="1"/>
  <c r="B2295" i="1"/>
  <c r="A2295" i="1"/>
  <c r="U2601" i="1"/>
  <c r="R2601" i="1"/>
  <c r="Q2601" i="1"/>
  <c r="P2601" i="1"/>
  <c r="O2601" i="1"/>
  <c r="N2601" i="1"/>
  <c r="M2601" i="1"/>
  <c r="K2601" i="1"/>
  <c r="J2601" i="1"/>
  <c r="I2601" i="1"/>
  <c r="H2601" i="1"/>
  <c r="F2601" i="1"/>
  <c r="D2601" i="1"/>
  <c r="B2601" i="1"/>
  <c r="A2601" i="1"/>
  <c r="U2807" i="1"/>
  <c r="R2807" i="1"/>
  <c r="Q2807" i="1"/>
  <c r="P2807" i="1"/>
  <c r="O2807" i="1"/>
  <c r="N2807" i="1"/>
  <c r="M2807" i="1"/>
  <c r="K2807" i="1"/>
  <c r="J2807" i="1"/>
  <c r="I2807" i="1"/>
  <c r="H2807" i="1"/>
  <c r="F2807" i="1"/>
  <c r="D2807" i="1"/>
  <c r="B2807" i="1"/>
  <c r="A2807" i="1"/>
  <c r="U2549" i="1"/>
  <c r="R2549" i="1"/>
  <c r="Q2549" i="1"/>
  <c r="P2549" i="1"/>
  <c r="O2549" i="1"/>
  <c r="N2549" i="1"/>
  <c r="M2549" i="1"/>
  <c r="K2549" i="1"/>
  <c r="J2549" i="1"/>
  <c r="I2549" i="1"/>
  <c r="H2549" i="1"/>
  <c r="F2549" i="1"/>
  <c r="D2549" i="1"/>
  <c r="A2549" i="1"/>
  <c r="U242" i="1"/>
  <c r="R242" i="1"/>
  <c r="Q242" i="1"/>
  <c r="P242" i="1"/>
  <c r="O242" i="1"/>
  <c r="N242" i="1"/>
  <c r="M242" i="1"/>
  <c r="I242" i="1"/>
  <c r="H242" i="1"/>
  <c r="F242" i="1"/>
  <c r="D242" i="1"/>
  <c r="B242" i="1"/>
  <c r="A242" i="1"/>
  <c r="U2368" i="1"/>
  <c r="R2368" i="1"/>
  <c r="Q2368" i="1"/>
  <c r="P2368" i="1"/>
  <c r="O2368" i="1"/>
  <c r="N2368" i="1"/>
  <c r="M2368" i="1"/>
  <c r="J2368" i="1"/>
  <c r="I2368" i="1"/>
  <c r="H2368" i="1"/>
  <c r="F2368" i="1"/>
  <c r="E2368" i="1"/>
  <c r="D2368" i="1"/>
  <c r="B2368" i="1"/>
  <c r="A2368" i="1"/>
  <c r="U64" i="1"/>
  <c r="R64" i="1"/>
  <c r="Q64" i="1"/>
  <c r="P64" i="1"/>
  <c r="O64" i="1"/>
  <c r="N64" i="1"/>
  <c r="M64" i="1"/>
  <c r="J64" i="1"/>
  <c r="I64" i="1"/>
  <c r="H64" i="1"/>
  <c r="F64" i="1"/>
  <c r="E64" i="1"/>
  <c r="D64" i="1"/>
  <c r="B64" i="1"/>
  <c r="A64" i="1"/>
  <c r="U115" i="1"/>
  <c r="R115" i="1"/>
  <c r="Q115" i="1"/>
  <c r="P115" i="1"/>
  <c r="O115" i="1"/>
  <c r="N115" i="1"/>
  <c r="M115" i="1"/>
  <c r="J115" i="1"/>
  <c r="I115" i="1"/>
  <c r="H115" i="1"/>
  <c r="F115" i="1"/>
  <c r="D115" i="1"/>
  <c r="B115" i="1"/>
  <c r="A115" i="1"/>
  <c r="U380" i="1"/>
  <c r="R380" i="1"/>
  <c r="Q380" i="1"/>
  <c r="P380" i="1"/>
  <c r="O380" i="1"/>
  <c r="N380" i="1"/>
  <c r="M380" i="1"/>
  <c r="J380" i="1"/>
  <c r="I380" i="1"/>
  <c r="H380" i="1"/>
  <c r="F380" i="1"/>
  <c r="D380" i="1"/>
  <c r="B380" i="1"/>
  <c r="A380" i="1"/>
  <c r="U525" i="1"/>
  <c r="R525" i="1"/>
  <c r="Q525" i="1"/>
  <c r="P525" i="1"/>
  <c r="O525" i="1"/>
  <c r="N525" i="1"/>
  <c r="M525" i="1"/>
  <c r="J525" i="1"/>
  <c r="I525" i="1"/>
  <c r="H525" i="1"/>
  <c r="F525" i="1"/>
  <c r="D525" i="1"/>
  <c r="B525" i="1"/>
  <c r="A525" i="1"/>
  <c r="U671" i="1"/>
  <c r="R671" i="1"/>
  <c r="Q671" i="1"/>
  <c r="P671" i="1"/>
  <c r="O671" i="1"/>
  <c r="N671" i="1"/>
  <c r="M671" i="1"/>
  <c r="I671" i="1"/>
  <c r="H671" i="1"/>
  <c r="F671" i="1"/>
  <c r="D671" i="1"/>
  <c r="B671" i="1"/>
  <c r="A671" i="1"/>
  <c r="U719" i="1"/>
  <c r="R719" i="1"/>
  <c r="Q719" i="1"/>
  <c r="P719" i="1"/>
  <c r="O719" i="1"/>
  <c r="N719" i="1"/>
  <c r="M719" i="1"/>
  <c r="J719" i="1"/>
  <c r="I719" i="1"/>
  <c r="H719" i="1"/>
  <c r="F719" i="1"/>
  <c r="D719" i="1"/>
  <c r="B719" i="1"/>
  <c r="A719" i="1"/>
  <c r="U563" i="1"/>
  <c r="R563" i="1"/>
  <c r="Q563" i="1"/>
  <c r="P563" i="1"/>
  <c r="O563" i="1"/>
  <c r="N563" i="1"/>
  <c r="M563" i="1"/>
  <c r="J563" i="1"/>
  <c r="I563" i="1"/>
  <c r="H563" i="1"/>
  <c r="F563" i="1"/>
  <c r="D563" i="1"/>
  <c r="B563" i="1"/>
  <c r="A563" i="1"/>
  <c r="U859" i="1"/>
  <c r="R859" i="1"/>
  <c r="Q859" i="1"/>
  <c r="P859" i="1"/>
  <c r="O859" i="1"/>
  <c r="N859" i="1"/>
  <c r="M859" i="1"/>
  <c r="I859" i="1"/>
  <c r="H859" i="1"/>
  <c r="F859" i="1"/>
  <c r="D859" i="1"/>
  <c r="B859" i="1"/>
  <c r="A859" i="1"/>
  <c r="U639" i="1"/>
  <c r="R639" i="1"/>
  <c r="Q639" i="1"/>
  <c r="P639" i="1"/>
  <c r="O639" i="1"/>
  <c r="N639" i="1"/>
  <c r="M639" i="1"/>
  <c r="J639" i="1"/>
  <c r="I639" i="1"/>
  <c r="H639" i="1"/>
  <c r="F639" i="1"/>
  <c r="D639" i="1"/>
  <c r="B639" i="1"/>
  <c r="A639" i="1"/>
  <c r="U780" i="1"/>
  <c r="R780" i="1"/>
  <c r="Q780" i="1"/>
  <c r="P780" i="1"/>
  <c r="O780" i="1"/>
  <c r="N780" i="1"/>
  <c r="M780" i="1"/>
  <c r="I780" i="1"/>
  <c r="H780" i="1"/>
  <c r="F780" i="1"/>
  <c r="E780" i="1"/>
  <c r="D780" i="1"/>
  <c r="B780" i="1"/>
  <c r="A780" i="1"/>
  <c r="U898" i="1"/>
  <c r="R898" i="1"/>
  <c r="Q898" i="1"/>
  <c r="P898" i="1"/>
  <c r="O898" i="1"/>
  <c r="N898" i="1"/>
  <c r="M898" i="1"/>
  <c r="J898" i="1"/>
  <c r="I898" i="1"/>
  <c r="H898" i="1"/>
  <c r="F898" i="1"/>
  <c r="D898" i="1"/>
  <c r="B898" i="1"/>
  <c r="A898" i="1"/>
  <c r="U1034" i="1"/>
  <c r="R1034" i="1"/>
  <c r="Q1034" i="1"/>
  <c r="P1034" i="1"/>
  <c r="O1034" i="1"/>
  <c r="N1034" i="1"/>
  <c r="M1034" i="1"/>
  <c r="J1034" i="1"/>
  <c r="I1034" i="1"/>
  <c r="H1034" i="1"/>
  <c r="F1034" i="1"/>
  <c r="D1034" i="1"/>
  <c r="B1034" i="1"/>
  <c r="A1034" i="1"/>
  <c r="U1546" i="1"/>
  <c r="R1546" i="1"/>
  <c r="Q1546" i="1"/>
  <c r="P1546" i="1"/>
  <c r="O1546" i="1"/>
  <c r="N1546" i="1"/>
  <c r="M1546" i="1"/>
  <c r="J1546" i="1"/>
  <c r="I1546" i="1"/>
  <c r="H1546" i="1"/>
  <c r="G1546" i="1"/>
  <c r="F1546" i="1"/>
  <c r="D1546" i="1"/>
  <c r="B1546" i="1"/>
  <c r="A1546" i="1"/>
  <c r="U1085" i="1"/>
  <c r="R1085" i="1"/>
  <c r="Q1085" i="1"/>
  <c r="P1085" i="1"/>
  <c r="O1085" i="1"/>
  <c r="N1085" i="1"/>
  <c r="M1085" i="1"/>
  <c r="J1085" i="1"/>
  <c r="I1085" i="1"/>
  <c r="H1085" i="1"/>
  <c r="F1085" i="1"/>
  <c r="E1085" i="1"/>
  <c r="D1085" i="1"/>
  <c r="B1085" i="1"/>
  <c r="A1085" i="1"/>
  <c r="U1170" i="1"/>
  <c r="R1170" i="1"/>
  <c r="Q1170" i="1"/>
  <c r="P1170" i="1"/>
  <c r="O1170" i="1"/>
  <c r="N1170" i="1"/>
  <c r="M1170" i="1"/>
  <c r="J1170" i="1"/>
  <c r="I1170" i="1"/>
  <c r="H1170" i="1"/>
  <c r="F1170" i="1"/>
  <c r="D1170" i="1"/>
  <c r="B1170" i="1"/>
  <c r="A1170" i="1"/>
  <c r="U1444" i="1"/>
  <c r="R1444" i="1"/>
  <c r="Q1444" i="1"/>
  <c r="P1444" i="1"/>
  <c r="O1444" i="1"/>
  <c r="N1444" i="1"/>
  <c r="M1444" i="1"/>
  <c r="J1444" i="1"/>
  <c r="I1444" i="1"/>
  <c r="H1444" i="1"/>
  <c r="F1444" i="1"/>
  <c r="D1444" i="1"/>
  <c r="B1444" i="1"/>
  <c r="A1444" i="1"/>
  <c r="U1545" i="1"/>
  <c r="R1545" i="1"/>
  <c r="Q1545" i="1"/>
  <c r="P1545" i="1"/>
  <c r="O1545" i="1"/>
  <c r="N1545" i="1"/>
  <c r="M1545" i="1"/>
  <c r="J1545" i="1"/>
  <c r="I1545" i="1"/>
  <c r="H1545" i="1"/>
  <c r="F1545" i="1"/>
  <c r="D1545" i="1"/>
  <c r="B1545" i="1"/>
  <c r="A1545" i="1"/>
  <c r="U2031" i="1"/>
  <c r="R2031" i="1"/>
  <c r="Q2031" i="1"/>
  <c r="P2031" i="1"/>
  <c r="O2031" i="1"/>
  <c r="N2031" i="1"/>
  <c r="M2031" i="1"/>
  <c r="I2031" i="1"/>
  <c r="H2031" i="1"/>
  <c r="F2031" i="1"/>
  <c r="D2031" i="1"/>
  <c r="B2031" i="1"/>
  <c r="A2031" i="1"/>
  <c r="U3020" i="1"/>
  <c r="R3020" i="1"/>
  <c r="Q3020" i="1"/>
  <c r="P3020" i="1"/>
  <c r="O3020" i="1"/>
  <c r="N3020" i="1"/>
  <c r="M3020" i="1"/>
  <c r="J3020" i="1"/>
  <c r="I3020" i="1"/>
  <c r="H3020" i="1"/>
  <c r="F3020" i="1"/>
  <c r="D3020" i="1"/>
  <c r="B3020" i="1"/>
  <c r="A3020" i="1"/>
  <c r="U2903" i="1"/>
  <c r="R2903" i="1"/>
  <c r="Q2903" i="1"/>
  <c r="P2903" i="1"/>
  <c r="O2903" i="1"/>
  <c r="N2903" i="1"/>
  <c r="M2903" i="1"/>
  <c r="J2903" i="1"/>
  <c r="I2903" i="1"/>
  <c r="H2903" i="1"/>
  <c r="F2903" i="1"/>
  <c r="D2903" i="1"/>
  <c r="B2903" i="1"/>
  <c r="A2903" i="1"/>
  <c r="U2983" i="1"/>
  <c r="R2983" i="1"/>
  <c r="Q2983" i="1"/>
  <c r="P2983" i="1"/>
  <c r="O2983" i="1"/>
  <c r="N2983" i="1"/>
  <c r="M2983" i="1"/>
  <c r="J2983" i="1"/>
  <c r="I2983" i="1"/>
  <c r="H2983" i="1"/>
  <c r="F2983" i="1"/>
  <c r="D2983" i="1"/>
  <c r="B2983" i="1"/>
  <c r="A2983" i="1"/>
  <c r="U2712" i="1"/>
  <c r="R2712" i="1"/>
  <c r="Q2712" i="1"/>
  <c r="P2712" i="1"/>
  <c r="O2712" i="1"/>
  <c r="N2712" i="1"/>
  <c r="M2712" i="1"/>
  <c r="J2712" i="1"/>
  <c r="I2712" i="1"/>
  <c r="H2712" i="1"/>
  <c r="F2712" i="1"/>
  <c r="D2712" i="1"/>
  <c r="B2712" i="1"/>
  <c r="A2712" i="1"/>
  <c r="U2540" i="1"/>
  <c r="R2540" i="1"/>
  <c r="Q2540" i="1"/>
  <c r="P2540" i="1"/>
  <c r="O2540" i="1"/>
  <c r="N2540" i="1"/>
  <c r="M2540" i="1"/>
  <c r="J2540" i="1"/>
  <c r="I2540" i="1"/>
  <c r="H2540" i="1"/>
  <c r="F2540" i="1"/>
  <c r="D2540" i="1"/>
  <c r="B2540" i="1"/>
  <c r="A2540" i="1"/>
  <c r="U3023" i="1"/>
  <c r="R3023" i="1"/>
  <c r="Q3023" i="1"/>
  <c r="P3023" i="1"/>
  <c r="O3023" i="1"/>
  <c r="N3023" i="1"/>
  <c r="M3023" i="1"/>
  <c r="J3023" i="1"/>
  <c r="I3023" i="1"/>
  <c r="H3023" i="1"/>
  <c r="F3023" i="1"/>
  <c r="D3023" i="1"/>
  <c r="B3023" i="1"/>
  <c r="A3023" i="1"/>
  <c r="U3146" i="1"/>
  <c r="R3146" i="1"/>
  <c r="Q3146" i="1"/>
  <c r="P3146" i="1"/>
  <c r="O3146" i="1"/>
  <c r="N3146" i="1"/>
  <c r="M3146" i="1"/>
  <c r="J3146" i="1"/>
  <c r="I3146" i="1"/>
  <c r="H3146" i="1"/>
  <c r="F3146" i="1"/>
  <c r="D3146" i="1"/>
  <c r="B3146" i="1"/>
  <c r="A3146" i="1"/>
  <c r="U2990" i="1"/>
  <c r="R2990" i="1"/>
  <c r="Q2990" i="1"/>
  <c r="P2990" i="1"/>
  <c r="O2990" i="1"/>
  <c r="N2990" i="1"/>
  <c r="M2990" i="1"/>
  <c r="J2990" i="1"/>
  <c r="I2990" i="1"/>
  <c r="H2990" i="1"/>
  <c r="F2990" i="1"/>
  <c r="E2990" i="1"/>
  <c r="D2990" i="1"/>
  <c r="B2990" i="1"/>
  <c r="A2990" i="1"/>
  <c r="U3162" i="1"/>
  <c r="R3162" i="1"/>
  <c r="Q3162" i="1"/>
  <c r="P3162" i="1"/>
  <c r="O3162" i="1"/>
  <c r="N3162" i="1"/>
  <c r="M3162" i="1"/>
  <c r="K3162" i="1"/>
  <c r="J3162" i="1"/>
  <c r="I3162" i="1"/>
  <c r="H3162" i="1"/>
  <c r="F3162" i="1"/>
  <c r="D3162" i="1"/>
  <c r="B3162" i="1"/>
  <c r="A3162" i="1"/>
  <c r="U3163" i="1"/>
  <c r="R3163" i="1"/>
  <c r="Q3163" i="1"/>
  <c r="P3163" i="1"/>
  <c r="O3163" i="1"/>
  <c r="N3163" i="1"/>
  <c r="M3163" i="1"/>
  <c r="K3163" i="1"/>
  <c r="J3163" i="1"/>
  <c r="I3163" i="1"/>
  <c r="H3163" i="1"/>
  <c r="F3163" i="1"/>
  <c r="D3163" i="1"/>
  <c r="B3163" i="1"/>
  <c r="A3163" i="1"/>
  <c r="U2764" i="1"/>
  <c r="R2764" i="1"/>
  <c r="Q2764" i="1"/>
  <c r="P2764" i="1"/>
  <c r="O2764" i="1"/>
  <c r="N2764" i="1"/>
  <c r="M2764" i="1"/>
  <c r="K2764" i="1"/>
  <c r="J2764" i="1"/>
  <c r="I2764" i="1"/>
  <c r="H2764" i="1"/>
  <c r="F2764" i="1"/>
  <c r="D2764" i="1"/>
  <c r="B2764" i="1"/>
  <c r="A2764" i="1"/>
  <c r="U3247" i="1"/>
  <c r="R3247" i="1"/>
  <c r="Q3247" i="1"/>
  <c r="P3247" i="1"/>
  <c r="O3247" i="1"/>
  <c r="N3247" i="1"/>
  <c r="M3247" i="1"/>
  <c r="K3247" i="1"/>
  <c r="J3247" i="1"/>
  <c r="I3247" i="1"/>
  <c r="H3247" i="1"/>
  <c r="F3247" i="1"/>
  <c r="D3247" i="1"/>
  <c r="B3247" i="1"/>
  <c r="A3247" i="1"/>
  <c r="U2441" i="1"/>
  <c r="R2441" i="1"/>
  <c r="Q2441" i="1"/>
  <c r="P2441" i="1"/>
  <c r="O2441" i="1"/>
  <c r="N2441" i="1"/>
  <c r="M2441" i="1"/>
  <c r="K2441" i="1"/>
  <c r="J2441" i="1"/>
  <c r="I2441" i="1"/>
  <c r="H2441" i="1"/>
  <c r="F2441" i="1"/>
  <c r="D2441" i="1"/>
  <c r="A2441" i="1"/>
  <c r="U2458" i="1"/>
  <c r="R2458" i="1"/>
  <c r="Q2458" i="1"/>
  <c r="P2458" i="1"/>
  <c r="O2458" i="1"/>
  <c r="N2458" i="1"/>
  <c r="M2458" i="1"/>
  <c r="K2458" i="1"/>
  <c r="J2458" i="1"/>
  <c r="I2458" i="1"/>
  <c r="H2458" i="1"/>
  <c r="F2458" i="1"/>
  <c r="D2458" i="1"/>
  <c r="A2458" i="1"/>
  <c r="U2542" i="1"/>
  <c r="R2542" i="1"/>
  <c r="Q2542" i="1"/>
  <c r="P2542" i="1"/>
  <c r="O2542" i="1"/>
  <c r="N2542" i="1"/>
  <c r="M2542" i="1"/>
  <c r="J2542" i="1"/>
  <c r="I2542" i="1"/>
  <c r="H2542" i="1"/>
  <c r="F2542" i="1"/>
  <c r="E2542" i="1"/>
  <c r="D2542" i="1"/>
  <c r="B2542" i="1"/>
  <c r="A2542" i="1"/>
  <c r="U3227" i="1"/>
  <c r="R3227" i="1"/>
  <c r="Q3227" i="1"/>
  <c r="P3227" i="1"/>
  <c r="O3227" i="1"/>
  <c r="N3227" i="1"/>
  <c r="M3227" i="1"/>
  <c r="J3227" i="1"/>
  <c r="I3227" i="1"/>
  <c r="H3227" i="1"/>
  <c r="F3227" i="1"/>
  <c r="E3227" i="1"/>
  <c r="D3227" i="1"/>
  <c r="A3227" i="1"/>
  <c r="U2581" i="1"/>
  <c r="R2581" i="1"/>
  <c r="Q2581" i="1"/>
  <c r="P2581" i="1"/>
  <c r="O2581" i="1"/>
  <c r="N2581" i="1"/>
  <c r="M2581" i="1"/>
  <c r="J2581" i="1"/>
  <c r="I2581" i="1"/>
  <c r="H2581" i="1"/>
  <c r="F2581" i="1"/>
  <c r="E2581" i="1"/>
  <c r="D2581" i="1"/>
  <c r="A2581" i="1"/>
  <c r="U2328" i="1"/>
  <c r="R2328" i="1"/>
  <c r="Q2328" i="1"/>
  <c r="P2328" i="1"/>
  <c r="O2328" i="1"/>
  <c r="N2328" i="1"/>
  <c r="M2328" i="1"/>
  <c r="K2328" i="1"/>
  <c r="J2328" i="1"/>
  <c r="I2328" i="1"/>
  <c r="H2328" i="1"/>
  <c r="F2328" i="1"/>
  <c r="D2328" i="1"/>
  <c r="A2328" i="1"/>
  <c r="U2604" i="1"/>
  <c r="R2604" i="1"/>
  <c r="Q2604" i="1"/>
  <c r="P2604" i="1"/>
  <c r="O2604" i="1"/>
  <c r="N2604" i="1"/>
  <c r="M2604" i="1"/>
  <c r="J2604" i="1"/>
  <c r="I2604" i="1"/>
  <c r="H2604" i="1"/>
  <c r="F2604" i="1"/>
  <c r="D2604" i="1"/>
  <c r="A2604" i="1"/>
  <c r="U2696" i="1"/>
  <c r="R2696" i="1"/>
  <c r="Q2696" i="1"/>
  <c r="P2696" i="1"/>
  <c r="O2696" i="1"/>
  <c r="N2696" i="1"/>
  <c r="M2696" i="1"/>
  <c r="J2696" i="1"/>
  <c r="I2696" i="1"/>
  <c r="H2696" i="1"/>
  <c r="F2696" i="1"/>
  <c r="D2696" i="1"/>
  <c r="A2696" i="1"/>
  <c r="U2738" i="1"/>
  <c r="R2738" i="1"/>
  <c r="Q2738" i="1"/>
  <c r="P2738" i="1"/>
  <c r="O2738" i="1"/>
  <c r="N2738" i="1"/>
  <c r="M2738" i="1"/>
  <c r="J2738" i="1"/>
  <c r="I2738" i="1"/>
  <c r="H2738" i="1"/>
  <c r="F2738" i="1"/>
  <c r="D2738" i="1"/>
  <c r="A2738" i="1"/>
  <c r="U3226" i="1"/>
  <c r="R3226" i="1"/>
  <c r="Q3226" i="1"/>
  <c r="P3226" i="1"/>
  <c r="O3226" i="1"/>
  <c r="N3226" i="1"/>
  <c r="M3226" i="1"/>
  <c r="J3226" i="1"/>
  <c r="I3226" i="1"/>
  <c r="H3226" i="1"/>
  <c r="F3226" i="1"/>
  <c r="D3226" i="1"/>
  <c r="A3226" i="1"/>
  <c r="U3067" i="1"/>
  <c r="R3067" i="1"/>
  <c r="Q3067" i="1"/>
  <c r="P3067" i="1"/>
  <c r="O3067" i="1"/>
  <c r="N3067" i="1"/>
  <c r="M3067" i="1"/>
  <c r="J3067" i="1"/>
  <c r="I3067" i="1"/>
  <c r="H3067" i="1"/>
  <c r="F3067" i="1"/>
  <c r="D3067" i="1"/>
  <c r="A3067" i="1"/>
  <c r="U2997" i="1"/>
  <c r="R2997" i="1"/>
  <c r="Q2997" i="1"/>
  <c r="P2997" i="1"/>
  <c r="O2997" i="1"/>
  <c r="N2997" i="1"/>
  <c r="M2997" i="1"/>
  <c r="J2997" i="1"/>
  <c r="I2997" i="1"/>
  <c r="H2997" i="1"/>
  <c r="F2997" i="1"/>
  <c r="D2997" i="1"/>
  <c r="A2997" i="1"/>
  <c r="U2318" i="1"/>
  <c r="R2318" i="1"/>
  <c r="Q2318" i="1"/>
  <c r="P2318" i="1"/>
  <c r="O2318" i="1"/>
  <c r="N2318" i="1"/>
  <c r="M2318" i="1"/>
  <c r="J2318" i="1"/>
  <c r="I2318" i="1"/>
  <c r="H2318" i="1"/>
  <c r="F2318" i="1"/>
  <c r="D2318" i="1"/>
  <c r="B2318" i="1"/>
  <c r="A2318" i="1"/>
  <c r="U3054" i="1"/>
  <c r="R3054" i="1"/>
  <c r="Q3054" i="1"/>
  <c r="P3054" i="1"/>
  <c r="O3054" i="1"/>
  <c r="N3054" i="1"/>
  <c r="M3054" i="1"/>
  <c r="J3054" i="1"/>
  <c r="I3054" i="1"/>
  <c r="H3054" i="1"/>
  <c r="F3054" i="1"/>
  <c r="D3054" i="1"/>
  <c r="B3054" i="1"/>
  <c r="A3054" i="1"/>
  <c r="U3110" i="1"/>
  <c r="R3110" i="1"/>
  <c r="Q3110" i="1"/>
  <c r="P3110" i="1"/>
  <c r="O3110" i="1"/>
  <c r="N3110" i="1"/>
  <c r="M3110" i="1"/>
  <c r="J3110" i="1"/>
  <c r="I3110" i="1"/>
  <c r="H3110" i="1"/>
  <c r="F3110" i="1"/>
  <c r="D3110" i="1"/>
  <c r="A3110" i="1"/>
  <c r="U3001" i="1"/>
  <c r="R3001" i="1"/>
  <c r="Q3001" i="1"/>
  <c r="P3001" i="1"/>
  <c r="O3001" i="1"/>
  <c r="N3001" i="1"/>
  <c r="M3001" i="1"/>
  <c r="J3001" i="1"/>
  <c r="I3001" i="1"/>
  <c r="H3001" i="1"/>
  <c r="F3001" i="1"/>
  <c r="D3001" i="1"/>
  <c r="A3001" i="1"/>
  <c r="U2871" i="1"/>
  <c r="R2871" i="1"/>
  <c r="Q2871" i="1"/>
  <c r="P2871" i="1"/>
  <c r="O2871" i="1"/>
  <c r="N2871" i="1"/>
  <c r="M2871" i="1"/>
  <c r="J2871" i="1"/>
  <c r="I2871" i="1"/>
  <c r="H2871" i="1"/>
  <c r="F2871" i="1"/>
  <c r="D2871" i="1"/>
  <c r="A2871" i="1"/>
  <c r="U3160" i="1"/>
  <c r="R3160" i="1"/>
  <c r="Q3160" i="1"/>
  <c r="P3160" i="1"/>
  <c r="O3160" i="1"/>
  <c r="N3160" i="1"/>
  <c r="M3160" i="1"/>
  <c r="K3160" i="1"/>
  <c r="J3160" i="1"/>
  <c r="I3160" i="1"/>
  <c r="H3160" i="1"/>
  <c r="G3160" i="1"/>
  <c r="F3160" i="1"/>
  <c r="D3160" i="1"/>
  <c r="B3160" i="1"/>
  <c r="A3160" i="1"/>
  <c r="U3170" i="1"/>
  <c r="R3170" i="1"/>
  <c r="Q3170" i="1"/>
  <c r="P3170" i="1"/>
  <c r="O3170" i="1"/>
  <c r="N3170" i="1"/>
  <c r="M3170" i="1"/>
  <c r="K3170" i="1"/>
  <c r="J3170" i="1"/>
  <c r="I3170" i="1"/>
  <c r="H3170" i="1"/>
  <c r="F3170" i="1"/>
  <c r="D3170" i="1"/>
  <c r="B3170" i="1"/>
  <c r="A3170" i="1"/>
  <c r="U4" i="1"/>
  <c r="R4" i="1"/>
  <c r="Q4" i="1"/>
  <c r="P4" i="1"/>
  <c r="O4" i="1"/>
  <c r="N4" i="1"/>
  <c r="M4" i="1"/>
  <c r="J4" i="1"/>
  <c r="I4" i="1"/>
  <c r="H4" i="1"/>
  <c r="F4" i="1"/>
  <c r="D4" i="1"/>
  <c r="B4" i="1"/>
  <c r="A4" i="1"/>
  <c r="U112" i="1"/>
  <c r="R112" i="1"/>
  <c r="Q112" i="1"/>
  <c r="P112" i="1"/>
  <c r="O112" i="1"/>
  <c r="N112" i="1"/>
  <c r="M112" i="1"/>
  <c r="I112" i="1"/>
  <c r="H112" i="1"/>
  <c r="F112" i="1"/>
  <c r="D112" i="1"/>
  <c r="B112" i="1"/>
  <c r="A112" i="1"/>
  <c r="U96" i="1"/>
  <c r="R96" i="1"/>
  <c r="Q96" i="1"/>
  <c r="P96" i="1"/>
  <c r="O96" i="1"/>
  <c r="N96" i="1"/>
  <c r="M96" i="1"/>
  <c r="J96" i="1"/>
  <c r="I96" i="1"/>
  <c r="H96" i="1"/>
  <c r="F96" i="1"/>
  <c r="D96" i="1"/>
  <c r="B96" i="1"/>
  <c r="A96" i="1"/>
  <c r="U66" i="1"/>
  <c r="R66" i="1"/>
  <c r="Q66" i="1"/>
  <c r="P66" i="1"/>
  <c r="O66" i="1"/>
  <c r="N66" i="1"/>
  <c r="M66" i="1"/>
  <c r="I66" i="1"/>
  <c r="H66" i="1"/>
  <c r="F66" i="1"/>
  <c r="D66" i="1"/>
  <c r="B66" i="1"/>
  <c r="A66" i="1"/>
  <c r="U137" i="1"/>
  <c r="R137" i="1"/>
  <c r="Q137" i="1"/>
  <c r="P137" i="1"/>
  <c r="O137" i="1"/>
  <c r="N137" i="1"/>
  <c r="M137" i="1"/>
  <c r="I137" i="1"/>
  <c r="H137" i="1"/>
  <c r="F137" i="1"/>
  <c r="D137" i="1"/>
  <c r="B137" i="1"/>
  <c r="A137" i="1"/>
  <c r="U167" i="1"/>
  <c r="R167" i="1"/>
  <c r="Q167" i="1"/>
  <c r="P167" i="1"/>
  <c r="O167" i="1"/>
  <c r="N167" i="1"/>
  <c r="M167" i="1"/>
  <c r="J167" i="1"/>
  <c r="I167" i="1"/>
  <c r="H167" i="1"/>
  <c r="F167" i="1"/>
  <c r="D167" i="1"/>
  <c r="B167" i="1"/>
  <c r="A167" i="1"/>
  <c r="U136" i="1"/>
  <c r="R136" i="1"/>
  <c r="Q136" i="1"/>
  <c r="P136" i="1"/>
  <c r="O136" i="1"/>
  <c r="N136" i="1"/>
  <c r="M136" i="1"/>
  <c r="J136" i="1"/>
  <c r="I136" i="1"/>
  <c r="H136" i="1"/>
  <c r="F136" i="1"/>
  <c r="D136" i="1"/>
  <c r="B136" i="1"/>
  <c r="A136" i="1"/>
  <c r="U230" i="1"/>
  <c r="R230" i="1"/>
  <c r="Q230" i="1"/>
  <c r="P230" i="1"/>
  <c r="O230" i="1"/>
  <c r="N230" i="1"/>
  <c r="M230" i="1"/>
  <c r="J230" i="1"/>
  <c r="I230" i="1"/>
  <c r="H230" i="1"/>
  <c r="F230" i="1"/>
  <c r="D230" i="1"/>
  <c r="B230" i="1"/>
  <c r="A230" i="1"/>
  <c r="U217" i="1"/>
  <c r="R217" i="1"/>
  <c r="Q217" i="1"/>
  <c r="P217" i="1"/>
  <c r="O217" i="1"/>
  <c r="N217" i="1"/>
  <c r="M217" i="1"/>
  <c r="I217" i="1"/>
  <c r="H217" i="1"/>
  <c r="F217" i="1"/>
  <c r="D217" i="1"/>
  <c r="B217" i="1"/>
  <c r="A217" i="1"/>
  <c r="U367" i="1"/>
  <c r="R367" i="1"/>
  <c r="Q367" i="1"/>
  <c r="P367" i="1"/>
  <c r="O367" i="1"/>
  <c r="N367" i="1"/>
  <c r="M367" i="1"/>
  <c r="J367" i="1"/>
  <c r="I367" i="1"/>
  <c r="H367" i="1"/>
  <c r="F367" i="1"/>
  <c r="E367" i="1"/>
  <c r="D367" i="1"/>
  <c r="B367" i="1"/>
  <c r="A367" i="1"/>
  <c r="U304" i="1"/>
  <c r="R304" i="1"/>
  <c r="Q304" i="1"/>
  <c r="P304" i="1"/>
  <c r="O304" i="1"/>
  <c r="N304" i="1"/>
  <c r="M304" i="1"/>
  <c r="I304" i="1"/>
  <c r="H304" i="1"/>
  <c r="F304" i="1"/>
  <c r="D304" i="1"/>
  <c r="B304" i="1"/>
  <c r="A304" i="1"/>
  <c r="U394" i="1"/>
  <c r="R394" i="1"/>
  <c r="Q394" i="1"/>
  <c r="P394" i="1"/>
  <c r="O394" i="1"/>
  <c r="N394" i="1"/>
  <c r="M394" i="1"/>
  <c r="I394" i="1"/>
  <c r="H394" i="1"/>
  <c r="F394" i="1"/>
  <c r="D394" i="1"/>
  <c r="B394" i="1"/>
  <c r="A394" i="1"/>
  <c r="U440" i="1"/>
  <c r="R440" i="1"/>
  <c r="Q440" i="1"/>
  <c r="P440" i="1"/>
  <c r="O440" i="1"/>
  <c r="N440" i="1"/>
  <c r="M440" i="1"/>
  <c r="J440" i="1"/>
  <c r="I440" i="1"/>
  <c r="H440" i="1"/>
  <c r="F440" i="1"/>
  <c r="D440" i="1"/>
  <c r="B440" i="1"/>
  <c r="A440" i="1"/>
  <c r="U461" i="1"/>
  <c r="R461" i="1"/>
  <c r="Q461" i="1"/>
  <c r="P461" i="1"/>
  <c r="O461" i="1"/>
  <c r="N461" i="1"/>
  <c r="M461" i="1"/>
  <c r="J461" i="1"/>
  <c r="I461" i="1"/>
  <c r="H461" i="1"/>
  <c r="F461" i="1"/>
  <c r="E461" i="1"/>
  <c r="D461" i="1"/>
  <c r="B461" i="1"/>
  <c r="A461" i="1"/>
  <c r="U382" i="1"/>
  <c r="R382" i="1"/>
  <c r="Q382" i="1"/>
  <c r="P382" i="1"/>
  <c r="O382" i="1"/>
  <c r="N382" i="1"/>
  <c r="M382" i="1"/>
  <c r="I382" i="1"/>
  <c r="H382" i="1"/>
  <c r="F382" i="1"/>
  <c r="D382" i="1"/>
  <c r="B382" i="1"/>
  <c r="A382" i="1"/>
  <c r="U453" i="1"/>
  <c r="R453" i="1"/>
  <c r="Q453" i="1"/>
  <c r="P453" i="1"/>
  <c r="O453" i="1"/>
  <c r="N453" i="1"/>
  <c r="M453" i="1"/>
  <c r="J453" i="1"/>
  <c r="I453" i="1"/>
  <c r="H453" i="1"/>
  <c r="F453" i="1"/>
  <c r="D453" i="1"/>
  <c r="B453" i="1"/>
  <c r="A453" i="1"/>
  <c r="U524" i="1"/>
  <c r="R524" i="1"/>
  <c r="Q524" i="1"/>
  <c r="P524" i="1"/>
  <c r="O524" i="1"/>
  <c r="N524" i="1"/>
  <c r="M524" i="1"/>
  <c r="J524" i="1"/>
  <c r="I524" i="1"/>
  <c r="H524" i="1"/>
  <c r="F524" i="1"/>
  <c r="D524" i="1"/>
  <c r="B524" i="1"/>
  <c r="A524" i="1"/>
  <c r="U424" i="1"/>
  <c r="R424" i="1"/>
  <c r="Q424" i="1"/>
  <c r="P424" i="1"/>
  <c r="O424" i="1"/>
  <c r="N424" i="1"/>
  <c r="M424" i="1"/>
  <c r="J424" i="1"/>
  <c r="I424" i="1"/>
  <c r="H424" i="1"/>
  <c r="F424" i="1"/>
  <c r="D424" i="1"/>
  <c r="B424" i="1"/>
  <c r="A424" i="1"/>
  <c r="U497" i="1"/>
  <c r="R497" i="1"/>
  <c r="Q497" i="1"/>
  <c r="P497" i="1"/>
  <c r="O497" i="1"/>
  <c r="N497" i="1"/>
  <c r="M497" i="1"/>
  <c r="J497" i="1"/>
  <c r="I497" i="1"/>
  <c r="H497" i="1"/>
  <c r="F497" i="1"/>
  <c r="D497" i="1"/>
  <c r="B497" i="1"/>
  <c r="A497" i="1"/>
  <c r="U523" i="1"/>
  <c r="R523" i="1"/>
  <c r="Q523" i="1"/>
  <c r="P523" i="1"/>
  <c r="O523" i="1"/>
  <c r="N523" i="1"/>
  <c r="M523" i="1"/>
  <c r="J523" i="1"/>
  <c r="I523" i="1"/>
  <c r="H523" i="1"/>
  <c r="F523" i="1"/>
  <c r="D523" i="1"/>
  <c r="B523" i="1"/>
  <c r="A523" i="1"/>
  <c r="U589" i="1"/>
  <c r="R589" i="1"/>
  <c r="Q589" i="1"/>
  <c r="P589" i="1"/>
  <c r="O589" i="1"/>
  <c r="N589" i="1"/>
  <c r="M589" i="1"/>
  <c r="I589" i="1"/>
  <c r="H589" i="1"/>
  <c r="G589" i="1"/>
  <c r="F589" i="1"/>
  <c r="D589" i="1"/>
  <c r="B589" i="1"/>
  <c r="A589" i="1"/>
  <c r="U538" i="1"/>
  <c r="R538" i="1"/>
  <c r="Q538" i="1"/>
  <c r="P538" i="1"/>
  <c r="O538" i="1"/>
  <c r="N538" i="1"/>
  <c r="M538" i="1"/>
  <c r="J538" i="1"/>
  <c r="I538" i="1"/>
  <c r="H538" i="1"/>
  <c r="F538" i="1"/>
  <c r="D538" i="1"/>
  <c r="B538" i="1"/>
  <c r="A538" i="1"/>
  <c r="U569" i="1"/>
  <c r="R569" i="1"/>
  <c r="Q569" i="1"/>
  <c r="P569" i="1"/>
  <c r="O569" i="1"/>
  <c r="N569" i="1"/>
  <c r="M569" i="1"/>
  <c r="J569" i="1"/>
  <c r="I569" i="1"/>
  <c r="H569" i="1"/>
  <c r="F569" i="1"/>
  <c r="D569" i="1"/>
  <c r="B569" i="1"/>
  <c r="A569" i="1"/>
  <c r="U674" i="1"/>
  <c r="R674" i="1"/>
  <c r="Q674" i="1"/>
  <c r="P674" i="1"/>
  <c r="O674" i="1"/>
  <c r="N674" i="1"/>
  <c r="M674" i="1"/>
  <c r="J674" i="1"/>
  <c r="I674" i="1"/>
  <c r="H674" i="1"/>
  <c r="F674" i="1"/>
  <c r="D674" i="1"/>
  <c r="B674" i="1"/>
  <c r="A674" i="1"/>
  <c r="U775" i="1"/>
  <c r="R775" i="1"/>
  <c r="Q775" i="1"/>
  <c r="P775" i="1"/>
  <c r="O775" i="1"/>
  <c r="N775" i="1"/>
  <c r="M775" i="1"/>
  <c r="J775" i="1"/>
  <c r="I775" i="1"/>
  <c r="H775" i="1"/>
  <c r="G775" i="1"/>
  <c r="F775" i="1"/>
  <c r="D775" i="1"/>
  <c r="B775" i="1"/>
  <c r="A775" i="1"/>
  <c r="U845" i="1"/>
  <c r="R845" i="1"/>
  <c r="Q845" i="1"/>
  <c r="P845" i="1"/>
  <c r="O845" i="1"/>
  <c r="N845" i="1"/>
  <c r="M845" i="1"/>
  <c r="J845" i="1"/>
  <c r="I845" i="1"/>
  <c r="H845" i="1"/>
  <c r="F845" i="1"/>
  <c r="D845" i="1"/>
  <c r="B845" i="1"/>
  <c r="A845" i="1"/>
  <c r="U801" i="1"/>
  <c r="R801" i="1"/>
  <c r="Q801" i="1"/>
  <c r="P801" i="1"/>
  <c r="O801" i="1"/>
  <c r="N801" i="1"/>
  <c r="M801" i="1"/>
  <c r="J801" i="1"/>
  <c r="I801" i="1"/>
  <c r="H801" i="1"/>
  <c r="F801" i="1"/>
  <c r="D801" i="1"/>
  <c r="B801" i="1"/>
  <c r="A801" i="1"/>
  <c r="U881" i="1"/>
  <c r="R881" i="1"/>
  <c r="Q881" i="1"/>
  <c r="P881" i="1"/>
  <c r="O881" i="1"/>
  <c r="N881" i="1"/>
  <c r="M881" i="1"/>
  <c r="J881" i="1"/>
  <c r="I881" i="1"/>
  <c r="H881" i="1"/>
  <c r="F881" i="1"/>
  <c r="D881" i="1"/>
  <c r="B881" i="1"/>
  <c r="A881" i="1"/>
  <c r="U866" i="1"/>
  <c r="R866" i="1"/>
  <c r="Q866" i="1"/>
  <c r="P866" i="1"/>
  <c r="O866" i="1"/>
  <c r="N866" i="1"/>
  <c r="M866" i="1"/>
  <c r="J866" i="1"/>
  <c r="I866" i="1"/>
  <c r="H866" i="1"/>
  <c r="F866" i="1"/>
  <c r="D866" i="1"/>
  <c r="B866" i="1"/>
  <c r="A866" i="1"/>
  <c r="U652" i="1"/>
  <c r="R652" i="1"/>
  <c r="Q652" i="1"/>
  <c r="P652" i="1"/>
  <c r="O652" i="1"/>
  <c r="N652" i="1"/>
  <c r="M652" i="1"/>
  <c r="J652" i="1"/>
  <c r="I652" i="1"/>
  <c r="H652" i="1"/>
  <c r="F652" i="1"/>
  <c r="D652" i="1"/>
  <c r="B652" i="1"/>
  <c r="A652" i="1"/>
  <c r="U958" i="1"/>
  <c r="R958" i="1"/>
  <c r="Q958" i="1"/>
  <c r="P958" i="1"/>
  <c r="O958" i="1"/>
  <c r="N958" i="1"/>
  <c r="M958" i="1"/>
  <c r="J958" i="1"/>
  <c r="I958" i="1"/>
  <c r="H958" i="1"/>
  <c r="F958" i="1"/>
  <c r="D958" i="1"/>
  <c r="B958" i="1"/>
  <c r="A958" i="1"/>
  <c r="U874" i="1"/>
  <c r="R874" i="1"/>
  <c r="Q874" i="1"/>
  <c r="P874" i="1"/>
  <c r="O874" i="1"/>
  <c r="N874" i="1"/>
  <c r="M874" i="1"/>
  <c r="J874" i="1"/>
  <c r="I874" i="1"/>
  <c r="H874" i="1"/>
  <c r="F874" i="1"/>
  <c r="D874" i="1"/>
  <c r="B874" i="1"/>
  <c r="A874" i="1"/>
  <c r="U946" i="1"/>
  <c r="R946" i="1"/>
  <c r="Q946" i="1"/>
  <c r="P946" i="1"/>
  <c r="O946" i="1"/>
  <c r="N946" i="1"/>
  <c r="M946" i="1"/>
  <c r="J946" i="1"/>
  <c r="I946" i="1"/>
  <c r="H946" i="1"/>
  <c r="F946" i="1"/>
  <c r="D946" i="1"/>
  <c r="B946" i="1"/>
  <c r="A946" i="1"/>
  <c r="U1100" i="1"/>
  <c r="R1100" i="1"/>
  <c r="Q1100" i="1"/>
  <c r="P1100" i="1"/>
  <c r="O1100" i="1"/>
  <c r="N1100" i="1"/>
  <c r="M1100" i="1"/>
  <c r="J1100" i="1"/>
  <c r="I1100" i="1"/>
  <c r="H1100" i="1"/>
  <c r="F1100" i="1"/>
  <c r="D1100" i="1"/>
  <c r="B1100" i="1"/>
  <c r="A1100" i="1"/>
  <c r="U1128" i="1"/>
  <c r="R1128" i="1"/>
  <c r="Q1128" i="1"/>
  <c r="P1128" i="1"/>
  <c r="O1128" i="1"/>
  <c r="N1128" i="1"/>
  <c r="M1128" i="1"/>
  <c r="J1128" i="1"/>
  <c r="I1128" i="1"/>
  <c r="H1128" i="1"/>
  <c r="F1128" i="1"/>
  <c r="D1128" i="1"/>
  <c r="B1128" i="1"/>
  <c r="A1128" i="1"/>
  <c r="U979" i="1"/>
  <c r="R979" i="1"/>
  <c r="Q979" i="1"/>
  <c r="P979" i="1"/>
  <c r="O979" i="1"/>
  <c r="N979" i="1"/>
  <c r="M979" i="1"/>
  <c r="I979" i="1"/>
  <c r="H979" i="1"/>
  <c r="F979" i="1"/>
  <c r="D979" i="1"/>
  <c r="B979" i="1"/>
  <c r="A979" i="1"/>
  <c r="U1268" i="1"/>
  <c r="R1268" i="1"/>
  <c r="Q1268" i="1"/>
  <c r="P1268" i="1"/>
  <c r="O1268" i="1"/>
  <c r="N1268" i="1"/>
  <c r="M1268" i="1"/>
  <c r="I1268" i="1"/>
  <c r="H1268" i="1"/>
  <c r="F1268" i="1"/>
  <c r="D1268" i="1"/>
  <c r="A1268" i="1"/>
  <c r="U1181" i="1"/>
  <c r="R1181" i="1"/>
  <c r="Q1181" i="1"/>
  <c r="P1181" i="1"/>
  <c r="O1181" i="1"/>
  <c r="N1181" i="1"/>
  <c r="M1181" i="1"/>
  <c r="J1181" i="1"/>
  <c r="I1181" i="1"/>
  <c r="H1181" i="1"/>
  <c r="F1181" i="1"/>
  <c r="D1181" i="1"/>
  <c r="A1181" i="1"/>
  <c r="U1388" i="1"/>
  <c r="R1388" i="1"/>
  <c r="Q1388" i="1"/>
  <c r="P1388" i="1"/>
  <c r="O1388" i="1"/>
  <c r="N1388" i="1"/>
  <c r="M1388" i="1"/>
  <c r="J1388" i="1"/>
  <c r="I1388" i="1"/>
  <c r="H1388" i="1"/>
  <c r="F1388" i="1"/>
  <c r="E1388" i="1"/>
  <c r="D1388" i="1"/>
  <c r="B1388" i="1"/>
  <c r="A1388" i="1"/>
  <c r="U1432" i="1"/>
  <c r="R1432" i="1"/>
  <c r="Q1432" i="1"/>
  <c r="P1432" i="1"/>
  <c r="O1432" i="1"/>
  <c r="N1432" i="1"/>
  <c r="M1432" i="1"/>
  <c r="J1432" i="1"/>
  <c r="I1432" i="1"/>
  <c r="H1432" i="1"/>
  <c r="F1432" i="1"/>
  <c r="D1432" i="1"/>
  <c r="A1432" i="1"/>
  <c r="U1296" i="1"/>
  <c r="R1296" i="1"/>
  <c r="Q1296" i="1"/>
  <c r="P1296" i="1"/>
  <c r="O1296" i="1"/>
  <c r="N1296" i="1"/>
  <c r="M1296" i="1"/>
  <c r="I1296" i="1"/>
  <c r="H1296" i="1"/>
  <c r="F1296" i="1"/>
  <c r="D1296" i="1"/>
  <c r="A1296" i="1"/>
  <c r="U1431" i="1"/>
  <c r="R1431" i="1"/>
  <c r="Q1431" i="1"/>
  <c r="P1431" i="1"/>
  <c r="O1431" i="1"/>
  <c r="N1431" i="1"/>
  <c r="M1431" i="1"/>
  <c r="J1431" i="1"/>
  <c r="I1431" i="1"/>
  <c r="H1431" i="1"/>
  <c r="F1431" i="1"/>
  <c r="D1431" i="1"/>
  <c r="A1431" i="1"/>
  <c r="U1481" i="1"/>
  <c r="R1481" i="1"/>
  <c r="Q1481" i="1"/>
  <c r="P1481" i="1"/>
  <c r="O1481" i="1"/>
  <c r="N1481" i="1"/>
  <c r="M1481" i="1"/>
  <c r="J1481" i="1"/>
  <c r="I1481" i="1"/>
  <c r="H1481" i="1"/>
  <c r="F1481" i="1"/>
  <c r="D1481" i="1"/>
  <c r="A1481" i="1"/>
  <c r="U1508" i="1"/>
  <c r="R1508" i="1"/>
  <c r="Q1508" i="1"/>
  <c r="P1508" i="1"/>
  <c r="O1508" i="1"/>
  <c r="N1508" i="1"/>
  <c r="M1508" i="1"/>
  <c r="J1508" i="1"/>
  <c r="I1508" i="1"/>
  <c r="H1508" i="1"/>
  <c r="F1508" i="1"/>
  <c r="D1508" i="1"/>
  <c r="A1508" i="1"/>
  <c r="U1507" i="1"/>
  <c r="R1507" i="1"/>
  <c r="Q1507" i="1"/>
  <c r="P1507" i="1"/>
  <c r="O1507" i="1"/>
  <c r="N1507" i="1"/>
  <c r="M1507" i="1"/>
  <c r="J1507" i="1"/>
  <c r="I1507" i="1"/>
  <c r="H1507" i="1"/>
  <c r="F1507" i="1"/>
  <c r="D1507" i="1"/>
  <c r="A1507" i="1"/>
  <c r="U1567" i="1"/>
  <c r="R1567" i="1"/>
  <c r="Q1567" i="1"/>
  <c r="P1567" i="1"/>
  <c r="O1567" i="1"/>
  <c r="N1567" i="1"/>
  <c r="M1567" i="1"/>
  <c r="J1567" i="1"/>
  <c r="I1567" i="1"/>
  <c r="H1567" i="1"/>
  <c r="F1567" i="1"/>
  <c r="D1567" i="1"/>
  <c r="A1567" i="1"/>
  <c r="U1629" i="1"/>
  <c r="R1629" i="1"/>
  <c r="Q1629" i="1"/>
  <c r="P1629" i="1"/>
  <c r="O1629" i="1"/>
  <c r="N1629" i="1"/>
  <c r="M1629" i="1"/>
  <c r="K1629" i="1"/>
  <c r="J1629" i="1"/>
  <c r="I1629" i="1"/>
  <c r="H1629" i="1"/>
  <c r="F1629" i="1"/>
  <c r="D1629" i="1"/>
  <c r="B1629" i="1"/>
  <c r="A1629" i="1"/>
  <c r="U1663" i="1"/>
  <c r="R1663" i="1"/>
  <c r="Q1663" i="1"/>
  <c r="P1663" i="1"/>
  <c r="O1663" i="1"/>
  <c r="N1663" i="1"/>
  <c r="M1663" i="1"/>
  <c r="J1663" i="1"/>
  <c r="I1663" i="1"/>
  <c r="H1663" i="1"/>
  <c r="F1663" i="1"/>
  <c r="D1663" i="1"/>
  <c r="B1663" i="1"/>
  <c r="A1663" i="1"/>
  <c r="U1693" i="1"/>
  <c r="R1693" i="1"/>
  <c r="Q1693" i="1"/>
  <c r="P1693" i="1"/>
  <c r="O1693" i="1"/>
  <c r="N1693" i="1"/>
  <c r="M1693" i="1"/>
  <c r="J1693" i="1"/>
  <c r="I1693" i="1"/>
  <c r="H1693" i="1"/>
  <c r="F1693" i="1"/>
  <c r="D1693" i="1"/>
  <c r="B1693" i="1"/>
  <c r="A1693" i="1"/>
  <c r="U1556" i="1"/>
  <c r="R1556" i="1"/>
  <c r="Q1556" i="1"/>
  <c r="P1556" i="1"/>
  <c r="O1556" i="1"/>
  <c r="N1556" i="1"/>
  <c r="M1556" i="1"/>
  <c r="J1556" i="1"/>
  <c r="I1556" i="1"/>
  <c r="H1556" i="1"/>
  <c r="F1556" i="1"/>
  <c r="D1556" i="1"/>
  <c r="B1556" i="1"/>
  <c r="A1556" i="1"/>
  <c r="U1695" i="1"/>
  <c r="R1695" i="1"/>
  <c r="Q1695" i="1"/>
  <c r="P1695" i="1"/>
  <c r="O1695" i="1"/>
  <c r="N1695" i="1"/>
  <c r="M1695" i="1"/>
  <c r="J1695" i="1"/>
  <c r="I1695" i="1"/>
  <c r="H1695" i="1"/>
  <c r="F1695" i="1"/>
  <c r="D1695" i="1"/>
  <c r="B1695" i="1"/>
  <c r="A1695" i="1"/>
  <c r="U1674" i="1"/>
  <c r="R1674" i="1"/>
  <c r="Q1674" i="1"/>
  <c r="P1674" i="1"/>
  <c r="O1674" i="1"/>
  <c r="N1674" i="1"/>
  <c r="M1674" i="1"/>
  <c r="J1674" i="1"/>
  <c r="I1674" i="1"/>
  <c r="H1674" i="1"/>
  <c r="F1674" i="1"/>
  <c r="D1674" i="1"/>
  <c r="B1674" i="1"/>
  <c r="A1674" i="1"/>
  <c r="U1696" i="1"/>
  <c r="R1696" i="1"/>
  <c r="Q1696" i="1"/>
  <c r="P1696" i="1"/>
  <c r="O1696" i="1"/>
  <c r="N1696" i="1"/>
  <c r="M1696" i="1"/>
  <c r="J1696" i="1"/>
  <c r="I1696" i="1"/>
  <c r="H1696" i="1"/>
  <c r="F1696" i="1"/>
  <c r="D1696" i="1"/>
  <c r="B1696" i="1"/>
  <c r="A1696" i="1"/>
  <c r="U1730" i="1"/>
  <c r="R1730" i="1"/>
  <c r="Q1730" i="1"/>
  <c r="P1730" i="1"/>
  <c r="O1730" i="1"/>
  <c r="N1730" i="1"/>
  <c r="M1730" i="1"/>
  <c r="J1730" i="1"/>
  <c r="I1730" i="1"/>
  <c r="H1730" i="1"/>
  <c r="F1730" i="1"/>
  <c r="E1730" i="1"/>
  <c r="D1730" i="1"/>
  <c r="B1730" i="1"/>
  <c r="A1730" i="1"/>
  <c r="U1703" i="1"/>
  <c r="R1703" i="1"/>
  <c r="Q1703" i="1"/>
  <c r="P1703" i="1"/>
  <c r="O1703" i="1"/>
  <c r="N1703" i="1"/>
  <c r="M1703" i="1"/>
  <c r="K1703" i="1"/>
  <c r="J1703" i="1"/>
  <c r="I1703" i="1"/>
  <c r="H1703" i="1"/>
  <c r="F1703" i="1"/>
  <c r="D1703" i="1"/>
  <c r="A1703" i="1"/>
  <c r="U1736" i="1"/>
  <c r="R1736" i="1"/>
  <c r="Q1736" i="1"/>
  <c r="P1736" i="1"/>
  <c r="O1736" i="1"/>
  <c r="N1736" i="1"/>
  <c r="M1736" i="1"/>
  <c r="K1736" i="1"/>
  <c r="J1736" i="1"/>
  <c r="I1736" i="1"/>
  <c r="H1736" i="1"/>
  <c r="F1736" i="1"/>
  <c r="D1736" i="1"/>
  <c r="B1736" i="1"/>
  <c r="A1736" i="1"/>
  <c r="U1754" i="1"/>
  <c r="R1754" i="1"/>
  <c r="Q1754" i="1"/>
  <c r="P1754" i="1"/>
  <c r="O1754" i="1"/>
  <c r="N1754" i="1"/>
  <c r="M1754" i="1"/>
  <c r="J1754" i="1"/>
  <c r="I1754" i="1"/>
  <c r="H1754" i="1"/>
  <c r="F1754" i="1"/>
  <c r="D1754" i="1"/>
  <c r="A1754" i="1"/>
  <c r="U1755" i="1"/>
  <c r="R1755" i="1"/>
  <c r="Q1755" i="1"/>
  <c r="P1755" i="1"/>
  <c r="O1755" i="1"/>
  <c r="N1755" i="1"/>
  <c r="M1755" i="1"/>
  <c r="J1755" i="1"/>
  <c r="I1755" i="1"/>
  <c r="H1755" i="1"/>
  <c r="F1755" i="1"/>
  <c r="D1755" i="1"/>
  <c r="B1755" i="1"/>
  <c r="A1755" i="1"/>
  <c r="U1776" i="1"/>
  <c r="R1776" i="1"/>
  <c r="Q1776" i="1"/>
  <c r="P1776" i="1"/>
  <c r="O1776" i="1"/>
  <c r="N1776" i="1"/>
  <c r="M1776" i="1"/>
  <c r="J1776" i="1"/>
  <c r="I1776" i="1"/>
  <c r="H1776" i="1"/>
  <c r="F1776" i="1"/>
  <c r="D1776" i="1"/>
  <c r="B1776" i="1"/>
  <c r="A1776" i="1"/>
  <c r="U1838" i="1"/>
  <c r="R1838" i="1"/>
  <c r="Q1838" i="1"/>
  <c r="P1838" i="1"/>
  <c r="O1838" i="1"/>
  <c r="N1838" i="1"/>
  <c r="M1838" i="1"/>
  <c r="J1838" i="1"/>
  <c r="I1838" i="1"/>
  <c r="H1838" i="1"/>
  <c r="F1838" i="1"/>
  <c r="E1838" i="1"/>
  <c r="D1838" i="1"/>
  <c r="B1838" i="1"/>
  <c r="A1838" i="1"/>
  <c r="U1740" i="1"/>
  <c r="R1740" i="1"/>
  <c r="Q1740" i="1"/>
  <c r="P1740" i="1"/>
  <c r="O1740" i="1"/>
  <c r="N1740" i="1"/>
  <c r="M1740" i="1"/>
  <c r="K1740" i="1"/>
  <c r="J1740" i="1"/>
  <c r="I1740" i="1"/>
  <c r="H1740" i="1"/>
  <c r="F1740" i="1"/>
  <c r="D1740" i="1"/>
  <c r="B1740" i="1"/>
  <c r="A1740" i="1"/>
  <c r="U1768" i="1"/>
  <c r="R1768" i="1"/>
  <c r="Q1768" i="1"/>
  <c r="P1768" i="1"/>
  <c r="O1768" i="1"/>
  <c r="N1768" i="1"/>
  <c r="M1768" i="1"/>
  <c r="J1768" i="1"/>
  <c r="I1768" i="1"/>
  <c r="H1768" i="1"/>
  <c r="F1768" i="1"/>
  <c r="E1768" i="1"/>
  <c r="D1768" i="1"/>
  <c r="B1768" i="1"/>
  <c r="A1768" i="1"/>
  <c r="U1867" i="1"/>
  <c r="R1867" i="1"/>
  <c r="Q1867" i="1"/>
  <c r="P1867" i="1"/>
  <c r="O1867" i="1"/>
  <c r="N1867" i="1"/>
  <c r="M1867" i="1"/>
  <c r="J1867" i="1"/>
  <c r="I1867" i="1"/>
  <c r="H1867" i="1"/>
  <c r="F1867" i="1"/>
  <c r="D1867" i="1"/>
  <c r="B1867" i="1"/>
  <c r="A1867" i="1"/>
  <c r="U1901" i="1"/>
  <c r="R1901" i="1"/>
  <c r="Q1901" i="1"/>
  <c r="P1901" i="1"/>
  <c r="O1901" i="1"/>
  <c r="N1901" i="1"/>
  <c r="M1901" i="1"/>
  <c r="J1901" i="1"/>
  <c r="I1901" i="1"/>
  <c r="H1901" i="1"/>
  <c r="F1901" i="1"/>
  <c r="D1901" i="1"/>
  <c r="B1901" i="1"/>
  <c r="A1901" i="1"/>
  <c r="U1919" i="1"/>
  <c r="R1919" i="1"/>
  <c r="Q1919" i="1"/>
  <c r="P1919" i="1"/>
  <c r="O1919" i="1"/>
  <c r="N1919" i="1"/>
  <c r="M1919" i="1"/>
  <c r="K1919" i="1"/>
  <c r="J1919" i="1"/>
  <c r="I1919" i="1"/>
  <c r="H1919" i="1"/>
  <c r="G1919" i="1"/>
  <c r="F1919" i="1"/>
  <c r="D1919" i="1"/>
  <c r="A1919" i="1"/>
  <c r="U1899" i="1"/>
  <c r="R1899" i="1"/>
  <c r="Q1899" i="1"/>
  <c r="P1899" i="1"/>
  <c r="O1899" i="1"/>
  <c r="N1899" i="1"/>
  <c r="M1899" i="1"/>
  <c r="K1899" i="1"/>
  <c r="J1899" i="1"/>
  <c r="I1899" i="1"/>
  <c r="H1899" i="1"/>
  <c r="F1899" i="1"/>
  <c r="D1899" i="1"/>
  <c r="B1899" i="1"/>
  <c r="A1899" i="1"/>
  <c r="U1957" i="1"/>
  <c r="R1957" i="1"/>
  <c r="Q1957" i="1"/>
  <c r="P1957" i="1"/>
  <c r="O1957" i="1"/>
  <c r="N1957" i="1"/>
  <c r="M1957" i="1"/>
  <c r="J1957" i="1"/>
  <c r="I1957" i="1"/>
  <c r="H1957" i="1"/>
  <c r="F1957" i="1"/>
  <c r="D1957" i="1"/>
  <c r="B1957" i="1"/>
  <c r="A1957" i="1"/>
  <c r="U1978" i="1"/>
  <c r="R1978" i="1"/>
  <c r="Q1978" i="1"/>
  <c r="P1978" i="1"/>
  <c r="O1978" i="1"/>
  <c r="N1978" i="1"/>
  <c r="M1978" i="1"/>
  <c r="J1978" i="1"/>
  <c r="I1978" i="1"/>
  <c r="H1978" i="1"/>
  <c r="F1978" i="1"/>
  <c r="D1978" i="1"/>
  <c r="B1978" i="1"/>
  <c r="A1978" i="1"/>
  <c r="U1660" i="1"/>
  <c r="R1660" i="1"/>
  <c r="Q1660" i="1"/>
  <c r="P1660" i="1"/>
  <c r="O1660" i="1"/>
  <c r="N1660" i="1"/>
  <c r="M1660" i="1"/>
  <c r="J1660" i="1"/>
  <c r="I1660" i="1"/>
  <c r="H1660" i="1"/>
  <c r="F1660" i="1"/>
  <c r="D1660" i="1"/>
  <c r="B1660" i="1"/>
  <c r="A1660" i="1"/>
  <c r="U2002" i="1"/>
  <c r="R2002" i="1"/>
  <c r="Q2002" i="1"/>
  <c r="P2002" i="1"/>
  <c r="O2002" i="1"/>
  <c r="N2002" i="1"/>
  <c r="M2002" i="1"/>
  <c r="K2002" i="1"/>
  <c r="J2002" i="1"/>
  <c r="I2002" i="1"/>
  <c r="H2002" i="1"/>
  <c r="F2002" i="1"/>
  <c r="D2002" i="1"/>
  <c r="B2002" i="1"/>
  <c r="A2002" i="1"/>
  <c r="U2098" i="1"/>
  <c r="R2098" i="1"/>
  <c r="Q2098" i="1"/>
  <c r="P2098" i="1"/>
  <c r="O2098" i="1"/>
  <c r="N2098" i="1"/>
  <c r="M2098" i="1"/>
  <c r="I2098" i="1"/>
  <c r="H2098" i="1"/>
  <c r="F2098" i="1"/>
  <c r="D2098" i="1"/>
  <c r="A2098" i="1"/>
  <c r="U2081" i="1"/>
  <c r="R2081" i="1"/>
  <c r="Q2081" i="1"/>
  <c r="P2081" i="1"/>
  <c r="O2081" i="1"/>
  <c r="N2081" i="1"/>
  <c r="M2081" i="1"/>
  <c r="J2081" i="1"/>
  <c r="I2081" i="1"/>
  <c r="H2081" i="1"/>
  <c r="F2081" i="1"/>
  <c r="E2081" i="1"/>
  <c r="D2081" i="1"/>
  <c r="B2081" i="1"/>
  <c r="A2081" i="1"/>
  <c r="U2416" i="1"/>
  <c r="R2416" i="1"/>
  <c r="Q2416" i="1"/>
  <c r="P2416" i="1"/>
  <c r="O2416" i="1"/>
  <c r="N2416" i="1"/>
  <c r="M2416" i="1"/>
  <c r="J2416" i="1"/>
  <c r="I2416" i="1"/>
  <c r="H2416" i="1"/>
  <c r="F2416" i="1"/>
  <c r="D2416" i="1"/>
  <c r="A2416" i="1"/>
  <c r="U2133" i="1"/>
  <c r="R2133" i="1"/>
  <c r="Q2133" i="1"/>
  <c r="P2133" i="1"/>
  <c r="O2133" i="1"/>
  <c r="N2133" i="1"/>
  <c r="M2133" i="1"/>
  <c r="J2133" i="1"/>
  <c r="I2133" i="1"/>
  <c r="H2133" i="1"/>
  <c r="F2133" i="1"/>
  <c r="D2133" i="1"/>
  <c r="A2133" i="1"/>
  <c r="U2144" i="1"/>
  <c r="R2144" i="1"/>
  <c r="Q2144" i="1"/>
  <c r="P2144" i="1"/>
  <c r="O2144" i="1"/>
  <c r="N2144" i="1"/>
  <c r="M2144" i="1"/>
  <c r="J2144" i="1"/>
  <c r="I2144" i="1"/>
  <c r="H2144" i="1"/>
  <c r="F2144" i="1"/>
  <c r="D2144" i="1"/>
  <c r="A2144" i="1"/>
  <c r="U2159" i="1"/>
  <c r="R2159" i="1"/>
  <c r="Q2159" i="1"/>
  <c r="P2159" i="1"/>
  <c r="O2159" i="1"/>
  <c r="N2159" i="1"/>
  <c r="M2159" i="1"/>
  <c r="J2159" i="1"/>
  <c r="I2159" i="1"/>
  <c r="H2159" i="1"/>
  <c r="F2159" i="1"/>
  <c r="D2159" i="1"/>
  <c r="A2159" i="1"/>
  <c r="U2186" i="1"/>
  <c r="R2186" i="1"/>
  <c r="Q2186" i="1"/>
  <c r="P2186" i="1"/>
  <c r="O2186" i="1"/>
  <c r="N2186" i="1"/>
  <c r="M2186" i="1"/>
  <c r="J2186" i="1"/>
  <c r="I2186" i="1"/>
  <c r="H2186" i="1"/>
  <c r="F2186" i="1"/>
  <c r="D2186" i="1"/>
  <c r="B2186" i="1"/>
  <c r="A2186" i="1"/>
  <c r="U2183" i="1"/>
  <c r="R2183" i="1"/>
  <c r="Q2183" i="1"/>
  <c r="P2183" i="1"/>
  <c r="O2183" i="1"/>
  <c r="N2183" i="1"/>
  <c r="M2183" i="1"/>
  <c r="J2183" i="1"/>
  <c r="I2183" i="1"/>
  <c r="H2183" i="1"/>
  <c r="F2183" i="1"/>
  <c r="D2183" i="1"/>
  <c r="A2183" i="1"/>
  <c r="U2460" i="1"/>
  <c r="R2460" i="1"/>
  <c r="Q2460" i="1"/>
  <c r="P2460" i="1"/>
  <c r="O2460" i="1"/>
  <c r="N2460" i="1"/>
  <c r="M2460" i="1"/>
  <c r="J2460" i="1"/>
  <c r="I2460" i="1"/>
  <c r="H2460" i="1"/>
  <c r="F2460" i="1"/>
  <c r="D2460" i="1"/>
  <c r="B2460" i="1"/>
  <c r="A2460" i="1"/>
  <c r="U2459" i="1"/>
  <c r="R2459" i="1"/>
  <c r="Q2459" i="1"/>
  <c r="P2459" i="1"/>
  <c r="O2459" i="1"/>
  <c r="N2459" i="1"/>
  <c r="M2459" i="1"/>
  <c r="J2459" i="1"/>
  <c r="I2459" i="1"/>
  <c r="H2459" i="1"/>
  <c r="G2459" i="1"/>
  <c r="F2459" i="1"/>
  <c r="D2459" i="1"/>
  <c r="B2459" i="1"/>
  <c r="A2459" i="1"/>
  <c r="U2411" i="1"/>
  <c r="R2411" i="1"/>
  <c r="Q2411" i="1"/>
  <c r="P2411" i="1"/>
  <c r="O2411" i="1"/>
  <c r="N2411" i="1"/>
  <c r="M2411" i="1"/>
  <c r="J2411" i="1"/>
  <c r="I2411" i="1"/>
  <c r="H2411" i="1"/>
  <c r="F2411" i="1"/>
  <c r="D2411" i="1"/>
  <c r="A2411" i="1"/>
  <c r="U2449" i="1"/>
  <c r="R2449" i="1"/>
  <c r="Q2449" i="1"/>
  <c r="P2449" i="1"/>
  <c r="O2449" i="1"/>
  <c r="N2449" i="1"/>
  <c r="M2449" i="1"/>
  <c r="J2449" i="1"/>
  <c r="I2449" i="1"/>
  <c r="H2449" i="1"/>
  <c r="F2449" i="1"/>
  <c r="D2449" i="1"/>
  <c r="B2449" i="1"/>
  <c r="A2449" i="1"/>
  <c r="U2514" i="1"/>
  <c r="R2514" i="1"/>
  <c r="Q2514" i="1"/>
  <c r="P2514" i="1"/>
  <c r="O2514" i="1"/>
  <c r="N2514" i="1"/>
  <c r="M2514" i="1"/>
  <c r="K2514" i="1"/>
  <c r="J2514" i="1"/>
  <c r="I2514" i="1"/>
  <c r="H2514" i="1"/>
  <c r="F2514" i="1"/>
  <c r="D2514" i="1"/>
  <c r="B2514" i="1"/>
  <c r="A2514" i="1"/>
  <c r="U2572" i="1"/>
  <c r="R2572" i="1"/>
  <c r="Q2572" i="1"/>
  <c r="P2572" i="1"/>
  <c r="O2572" i="1"/>
  <c r="N2572" i="1"/>
  <c r="M2572" i="1"/>
  <c r="J2572" i="1"/>
  <c r="I2572" i="1"/>
  <c r="H2572" i="1"/>
  <c r="F2572" i="1"/>
  <c r="E2572" i="1"/>
  <c r="D2572" i="1"/>
  <c r="B2572" i="1"/>
  <c r="A2572" i="1"/>
  <c r="U2579" i="1"/>
  <c r="R2579" i="1"/>
  <c r="Q2579" i="1"/>
  <c r="P2579" i="1"/>
  <c r="O2579" i="1"/>
  <c r="N2579" i="1"/>
  <c r="M2579" i="1"/>
  <c r="J2579" i="1"/>
  <c r="I2579" i="1"/>
  <c r="H2579" i="1"/>
  <c r="F2579" i="1"/>
  <c r="D2579" i="1"/>
  <c r="B2579" i="1"/>
  <c r="A2579" i="1"/>
  <c r="U2595" i="1"/>
  <c r="R2595" i="1"/>
  <c r="Q2595" i="1"/>
  <c r="P2595" i="1"/>
  <c r="O2595" i="1"/>
  <c r="N2595" i="1"/>
  <c r="M2595" i="1"/>
  <c r="J2595" i="1"/>
  <c r="I2595" i="1"/>
  <c r="H2595" i="1"/>
  <c r="F2595" i="1"/>
  <c r="E2595" i="1"/>
  <c r="D2595" i="1"/>
  <c r="B2595" i="1"/>
  <c r="A2595" i="1"/>
  <c r="U2618" i="1"/>
  <c r="R2618" i="1"/>
  <c r="Q2618" i="1"/>
  <c r="P2618" i="1"/>
  <c r="O2618" i="1"/>
  <c r="N2618" i="1"/>
  <c r="M2618" i="1"/>
  <c r="K2618" i="1"/>
  <c r="J2618" i="1"/>
  <c r="I2618" i="1"/>
  <c r="H2618" i="1"/>
  <c r="F2618" i="1"/>
  <c r="D2618" i="1"/>
  <c r="B2618" i="1"/>
  <c r="A2618" i="1"/>
  <c r="U2655" i="1"/>
  <c r="R2655" i="1"/>
  <c r="Q2655" i="1"/>
  <c r="P2655" i="1"/>
  <c r="O2655" i="1"/>
  <c r="N2655" i="1"/>
  <c r="M2655" i="1"/>
  <c r="K2655" i="1"/>
  <c r="J2655" i="1"/>
  <c r="I2655" i="1"/>
  <c r="H2655" i="1"/>
  <c r="G2655" i="1"/>
  <c r="F2655" i="1"/>
  <c r="D2655" i="1"/>
  <c r="B2655" i="1"/>
  <c r="A2655" i="1"/>
  <c r="U2679" i="1"/>
  <c r="R2679" i="1"/>
  <c r="Q2679" i="1"/>
  <c r="P2679" i="1"/>
  <c r="O2679" i="1"/>
  <c r="N2679" i="1"/>
  <c r="M2679" i="1"/>
  <c r="K2679" i="1"/>
  <c r="J2679" i="1"/>
  <c r="I2679" i="1"/>
  <c r="H2679" i="1"/>
  <c r="F2679" i="1"/>
  <c r="E2679" i="1"/>
  <c r="D2679" i="1"/>
  <c r="B2679" i="1"/>
  <c r="A2679" i="1"/>
  <c r="U2672" i="1"/>
  <c r="R2672" i="1"/>
  <c r="Q2672" i="1"/>
  <c r="P2672" i="1"/>
  <c r="O2672" i="1"/>
  <c r="N2672" i="1"/>
  <c r="M2672" i="1"/>
  <c r="J2672" i="1"/>
  <c r="I2672" i="1"/>
  <c r="H2672" i="1"/>
  <c r="F2672" i="1"/>
  <c r="E2672" i="1"/>
  <c r="D2672" i="1"/>
  <c r="B2672" i="1"/>
  <c r="A2672" i="1"/>
  <c r="U2791" i="1"/>
  <c r="R2791" i="1"/>
  <c r="Q2791" i="1"/>
  <c r="P2791" i="1"/>
  <c r="O2791" i="1"/>
  <c r="N2791" i="1"/>
  <c r="M2791" i="1"/>
  <c r="K2791" i="1"/>
  <c r="J2791" i="1"/>
  <c r="I2791" i="1"/>
  <c r="H2791" i="1"/>
  <c r="F2791" i="1"/>
  <c r="D2791" i="1"/>
  <c r="B2791" i="1"/>
  <c r="A2791" i="1"/>
  <c r="U2978" i="1"/>
  <c r="R2978" i="1"/>
  <c r="Q2978" i="1"/>
  <c r="P2978" i="1"/>
  <c r="O2978" i="1"/>
  <c r="N2978" i="1"/>
  <c r="M2978" i="1"/>
  <c r="J2978" i="1"/>
  <c r="I2978" i="1"/>
  <c r="H2978" i="1"/>
  <c r="F2978" i="1"/>
  <c r="D2978" i="1"/>
  <c r="B2978" i="1"/>
  <c r="A2978" i="1"/>
  <c r="U3225" i="1"/>
  <c r="R3225" i="1"/>
  <c r="Q3225" i="1"/>
  <c r="P3225" i="1"/>
  <c r="O3225" i="1"/>
  <c r="N3225" i="1"/>
  <c r="M3225" i="1"/>
  <c r="K3225" i="1"/>
  <c r="J3225" i="1"/>
  <c r="I3225" i="1"/>
  <c r="H3225" i="1"/>
  <c r="F3225" i="1"/>
  <c r="D3225" i="1"/>
  <c r="B3225" i="1"/>
  <c r="A3225" i="1"/>
  <c r="U2900" i="1"/>
  <c r="R2900" i="1"/>
  <c r="Q2900" i="1"/>
  <c r="P2900" i="1"/>
  <c r="O2900" i="1"/>
  <c r="N2900" i="1"/>
  <c r="M2900" i="1"/>
  <c r="J2900" i="1"/>
  <c r="I2900" i="1"/>
  <c r="H2900" i="1"/>
  <c r="F2900" i="1"/>
  <c r="E2900" i="1"/>
  <c r="D2900" i="1"/>
  <c r="B2900" i="1"/>
  <c r="A2900" i="1"/>
  <c r="U2862" i="1"/>
  <c r="R2862" i="1"/>
  <c r="Q2862" i="1"/>
  <c r="P2862" i="1"/>
  <c r="O2862" i="1"/>
  <c r="N2862" i="1"/>
  <c r="M2862" i="1"/>
  <c r="J2862" i="1"/>
  <c r="I2862" i="1"/>
  <c r="H2862" i="1"/>
  <c r="F2862" i="1"/>
  <c r="E2862" i="1"/>
  <c r="D2862" i="1"/>
  <c r="B2862" i="1"/>
  <c r="A2862" i="1"/>
  <c r="U2880" i="1"/>
  <c r="R2880" i="1"/>
  <c r="Q2880" i="1"/>
  <c r="P2880" i="1"/>
  <c r="O2880" i="1"/>
  <c r="N2880" i="1"/>
  <c r="M2880" i="1"/>
  <c r="J2880" i="1"/>
  <c r="I2880" i="1"/>
  <c r="H2880" i="1"/>
  <c r="F2880" i="1"/>
  <c r="D2880" i="1"/>
  <c r="B2880" i="1"/>
  <c r="A2880" i="1"/>
  <c r="U2773" i="1"/>
  <c r="R2773" i="1"/>
  <c r="Q2773" i="1"/>
  <c r="P2773" i="1"/>
  <c r="O2773" i="1"/>
  <c r="N2773" i="1"/>
  <c r="M2773" i="1"/>
  <c r="J2773" i="1"/>
  <c r="I2773" i="1"/>
  <c r="H2773" i="1"/>
  <c r="F2773" i="1"/>
  <c r="E2773" i="1"/>
  <c r="D2773" i="1"/>
  <c r="B2773" i="1"/>
  <c r="A2773" i="1"/>
  <c r="U2176" i="1"/>
  <c r="R2176" i="1"/>
  <c r="Q2176" i="1"/>
  <c r="P2176" i="1"/>
  <c r="O2176" i="1"/>
  <c r="N2176" i="1"/>
  <c r="M2176" i="1"/>
  <c r="J2176" i="1"/>
  <c r="I2176" i="1"/>
  <c r="H2176" i="1"/>
  <c r="F2176" i="1"/>
  <c r="E2176" i="1"/>
  <c r="D2176" i="1"/>
  <c r="B2176" i="1"/>
  <c r="A2176" i="1"/>
  <c r="U3224" i="1"/>
  <c r="R3224" i="1"/>
  <c r="Q3224" i="1"/>
  <c r="P3224" i="1"/>
  <c r="O3224" i="1"/>
  <c r="N3224" i="1"/>
  <c r="M3224" i="1"/>
  <c r="J3224" i="1"/>
  <c r="I3224" i="1"/>
  <c r="H3224" i="1"/>
  <c r="F3224" i="1"/>
  <c r="D3224" i="1"/>
  <c r="B3224" i="1"/>
  <c r="A3224" i="1"/>
  <c r="U2838" i="1"/>
  <c r="R2838" i="1"/>
  <c r="Q2838" i="1"/>
  <c r="P2838" i="1"/>
  <c r="O2838" i="1"/>
  <c r="N2838" i="1"/>
  <c r="M2838" i="1"/>
  <c r="J2838" i="1"/>
  <c r="I2838" i="1"/>
  <c r="H2838" i="1"/>
  <c r="F2838" i="1"/>
  <c r="D2838" i="1"/>
  <c r="B2838" i="1"/>
  <c r="A2838" i="1"/>
  <c r="U2676" i="1"/>
  <c r="R2676" i="1"/>
  <c r="Q2676" i="1"/>
  <c r="P2676" i="1"/>
  <c r="O2676" i="1"/>
  <c r="N2676" i="1"/>
  <c r="M2676" i="1"/>
  <c r="J2676" i="1"/>
  <c r="I2676" i="1"/>
  <c r="H2676" i="1"/>
  <c r="F2676" i="1"/>
  <c r="D2676" i="1"/>
  <c r="B2676" i="1"/>
  <c r="A2676" i="1"/>
  <c r="U2876" i="1"/>
  <c r="R2876" i="1"/>
  <c r="Q2876" i="1"/>
  <c r="P2876" i="1"/>
  <c r="O2876" i="1"/>
  <c r="N2876" i="1"/>
  <c r="M2876" i="1"/>
  <c r="J2876" i="1"/>
  <c r="I2876" i="1"/>
  <c r="H2876" i="1"/>
  <c r="F2876" i="1"/>
  <c r="D2876" i="1"/>
  <c r="B2876" i="1"/>
  <c r="A2876" i="1"/>
  <c r="U2772" i="1"/>
  <c r="R2772" i="1"/>
  <c r="Q2772" i="1"/>
  <c r="P2772" i="1"/>
  <c r="O2772" i="1"/>
  <c r="N2772" i="1"/>
  <c r="M2772" i="1"/>
  <c r="J2772" i="1"/>
  <c r="I2772" i="1"/>
  <c r="H2772" i="1"/>
  <c r="F2772" i="1"/>
  <c r="D2772" i="1"/>
  <c r="B2772" i="1"/>
  <c r="A2772" i="1"/>
  <c r="U2737" i="1"/>
  <c r="R2737" i="1"/>
  <c r="Q2737" i="1"/>
  <c r="P2737" i="1"/>
  <c r="O2737" i="1"/>
  <c r="N2737" i="1"/>
  <c r="M2737" i="1"/>
  <c r="K2737" i="1"/>
  <c r="J2737" i="1"/>
  <c r="I2737" i="1"/>
  <c r="H2737" i="1"/>
  <c r="F2737" i="1"/>
  <c r="D2737" i="1"/>
  <c r="B2737" i="1"/>
  <c r="A2737" i="1"/>
  <c r="U2694" i="1"/>
  <c r="R2694" i="1"/>
  <c r="Q2694" i="1"/>
  <c r="P2694" i="1"/>
  <c r="O2694" i="1"/>
  <c r="N2694" i="1"/>
  <c r="M2694" i="1"/>
  <c r="J2694" i="1"/>
  <c r="I2694" i="1"/>
  <c r="H2694" i="1"/>
  <c r="F2694" i="1"/>
  <c r="D2694" i="1"/>
  <c r="B2694" i="1"/>
  <c r="A2694" i="1"/>
  <c r="U2766" i="1"/>
  <c r="R2766" i="1"/>
  <c r="Q2766" i="1"/>
  <c r="P2766" i="1"/>
  <c r="O2766" i="1"/>
  <c r="N2766" i="1"/>
  <c r="M2766" i="1"/>
  <c r="J2766" i="1"/>
  <c r="I2766" i="1"/>
  <c r="H2766" i="1"/>
  <c r="F2766" i="1"/>
  <c r="D2766" i="1"/>
  <c r="B2766" i="1"/>
  <c r="A2766" i="1"/>
  <c r="U2756" i="1"/>
  <c r="R2756" i="1"/>
  <c r="Q2756" i="1"/>
  <c r="P2756" i="1"/>
  <c r="O2756" i="1"/>
  <c r="N2756" i="1"/>
  <c r="M2756" i="1"/>
  <c r="J2756" i="1"/>
  <c r="I2756" i="1"/>
  <c r="H2756" i="1"/>
  <c r="F2756" i="1"/>
  <c r="D2756" i="1"/>
  <c r="B2756" i="1"/>
  <c r="A2756" i="1"/>
  <c r="U2821" i="1"/>
  <c r="R2821" i="1"/>
  <c r="Q2821" i="1"/>
  <c r="P2821" i="1"/>
  <c r="O2821" i="1"/>
  <c r="N2821" i="1"/>
  <c r="M2821" i="1"/>
  <c r="K2821" i="1"/>
  <c r="J2821" i="1"/>
  <c r="I2821" i="1"/>
  <c r="H2821" i="1"/>
  <c r="F2821" i="1"/>
  <c r="D2821" i="1"/>
  <c r="B2821" i="1"/>
  <c r="A2821" i="1"/>
  <c r="U2752" i="1"/>
  <c r="R2752" i="1"/>
  <c r="Q2752" i="1"/>
  <c r="P2752" i="1"/>
  <c r="O2752" i="1"/>
  <c r="N2752" i="1"/>
  <c r="M2752" i="1"/>
  <c r="K2752" i="1"/>
  <c r="J2752" i="1"/>
  <c r="I2752" i="1"/>
  <c r="H2752" i="1"/>
  <c r="F2752" i="1"/>
  <c r="D2752" i="1"/>
  <c r="B2752" i="1"/>
  <c r="A2752" i="1"/>
  <c r="U2662" i="1"/>
  <c r="R2662" i="1"/>
  <c r="Q2662" i="1"/>
  <c r="P2662" i="1"/>
  <c r="O2662" i="1"/>
  <c r="N2662" i="1"/>
  <c r="M2662" i="1"/>
  <c r="K2662" i="1"/>
  <c r="J2662" i="1"/>
  <c r="I2662" i="1"/>
  <c r="H2662" i="1"/>
  <c r="F2662" i="1"/>
  <c r="E2662" i="1"/>
  <c r="D2662" i="1"/>
  <c r="B2662" i="1"/>
  <c r="A2662" i="1"/>
  <c r="U2190" i="1"/>
  <c r="R2190" i="1"/>
  <c r="Q2190" i="1"/>
  <c r="P2190" i="1"/>
  <c r="O2190" i="1"/>
  <c r="N2190" i="1"/>
  <c r="M2190" i="1"/>
  <c r="K2190" i="1"/>
  <c r="J2190" i="1"/>
  <c r="I2190" i="1"/>
  <c r="H2190" i="1"/>
  <c r="F2190" i="1"/>
  <c r="E2190" i="1"/>
  <c r="D2190" i="1"/>
  <c r="B2190" i="1"/>
  <c r="A2190" i="1"/>
  <c r="U301" i="1"/>
  <c r="R301" i="1"/>
  <c r="Q301" i="1"/>
  <c r="P301" i="1"/>
  <c r="O301" i="1"/>
  <c r="N301" i="1"/>
  <c r="M301" i="1"/>
  <c r="J301" i="1"/>
  <c r="I301" i="1"/>
  <c r="H301" i="1"/>
  <c r="F301" i="1"/>
  <c r="D301" i="1"/>
  <c r="B301" i="1"/>
  <c r="A301" i="1"/>
  <c r="U300" i="1"/>
  <c r="R300" i="1"/>
  <c r="Q300" i="1"/>
  <c r="P300" i="1"/>
  <c r="O300" i="1"/>
  <c r="N300" i="1"/>
  <c r="M300" i="1"/>
  <c r="J300" i="1"/>
  <c r="I300" i="1"/>
  <c r="H300" i="1"/>
  <c r="F300" i="1"/>
  <c r="E300" i="1"/>
  <c r="D300" i="1"/>
  <c r="B300" i="1"/>
  <c r="A300" i="1"/>
  <c r="U704" i="1"/>
  <c r="R704" i="1"/>
  <c r="Q704" i="1"/>
  <c r="P704" i="1"/>
  <c r="O704" i="1"/>
  <c r="N704" i="1"/>
  <c r="M704" i="1"/>
  <c r="J704" i="1"/>
  <c r="I704" i="1"/>
  <c r="H704" i="1"/>
  <c r="F704" i="1"/>
  <c r="D704" i="1"/>
  <c r="B704" i="1"/>
  <c r="A704" i="1"/>
  <c r="U1498" i="1"/>
  <c r="R1498" i="1"/>
  <c r="Q1498" i="1"/>
  <c r="P1498" i="1"/>
  <c r="O1498" i="1"/>
  <c r="N1498" i="1"/>
  <c r="M1498" i="1"/>
  <c r="J1498" i="1"/>
  <c r="I1498" i="1"/>
  <c r="H1498" i="1"/>
  <c r="F1498" i="1"/>
  <c r="D1498" i="1"/>
  <c r="B1498" i="1"/>
  <c r="A1498" i="1"/>
  <c r="U1984" i="1"/>
  <c r="R1984" i="1"/>
  <c r="Q1984" i="1"/>
  <c r="P1984" i="1"/>
  <c r="O1984" i="1"/>
  <c r="N1984" i="1"/>
  <c r="M1984" i="1"/>
  <c r="J1984" i="1"/>
  <c r="I1984" i="1"/>
  <c r="H1984" i="1"/>
  <c r="F1984" i="1"/>
  <c r="D1984" i="1"/>
  <c r="B1984" i="1"/>
  <c r="A1984" i="1"/>
  <c r="U2027" i="1"/>
  <c r="R2027" i="1"/>
  <c r="Q2027" i="1"/>
  <c r="P2027" i="1"/>
  <c r="O2027" i="1"/>
  <c r="N2027" i="1"/>
  <c r="M2027" i="1"/>
  <c r="K2027" i="1"/>
  <c r="J2027" i="1"/>
  <c r="I2027" i="1"/>
  <c r="H2027" i="1"/>
  <c r="F2027" i="1"/>
  <c r="D2027" i="1"/>
  <c r="B2027" i="1"/>
  <c r="A2027" i="1"/>
  <c r="U2113" i="1"/>
  <c r="R2113" i="1"/>
  <c r="Q2113" i="1"/>
  <c r="P2113" i="1"/>
  <c r="O2113" i="1"/>
  <c r="N2113" i="1"/>
  <c r="M2113" i="1"/>
  <c r="J2113" i="1"/>
  <c r="I2113" i="1"/>
  <c r="H2113" i="1"/>
  <c r="G2113" i="1"/>
  <c r="F2113" i="1"/>
  <c r="E2113" i="1"/>
  <c r="D2113" i="1"/>
  <c r="B2113" i="1"/>
  <c r="A2113" i="1"/>
  <c r="U2219" i="1"/>
  <c r="R2219" i="1"/>
  <c r="Q2219" i="1"/>
  <c r="P2219" i="1"/>
  <c r="O2219" i="1"/>
  <c r="N2219" i="1"/>
  <c r="M2219" i="1"/>
  <c r="K2219" i="1"/>
  <c r="J2219" i="1"/>
  <c r="I2219" i="1"/>
  <c r="H2219" i="1"/>
  <c r="F2219" i="1"/>
  <c r="D2219" i="1"/>
  <c r="B2219" i="1"/>
  <c r="A2219" i="1"/>
  <c r="U467" i="1"/>
  <c r="R467" i="1"/>
  <c r="Q467" i="1"/>
  <c r="P467" i="1"/>
  <c r="O467" i="1"/>
  <c r="N467" i="1"/>
  <c r="M467" i="1"/>
  <c r="J467" i="1"/>
  <c r="I467" i="1"/>
  <c r="H467" i="1"/>
  <c r="F467" i="1"/>
  <c r="D467" i="1"/>
  <c r="B467" i="1"/>
  <c r="A467" i="1"/>
  <c r="U372" i="1"/>
  <c r="R372" i="1"/>
  <c r="Q372" i="1"/>
  <c r="P372" i="1"/>
  <c r="O372" i="1"/>
  <c r="N372" i="1"/>
  <c r="M372" i="1"/>
  <c r="J372" i="1"/>
  <c r="I372" i="1"/>
  <c r="H372" i="1"/>
  <c r="G372" i="1"/>
  <c r="F372" i="1"/>
  <c r="D372" i="1"/>
  <c r="B372" i="1"/>
  <c r="A372" i="1"/>
  <c r="U1055" i="1"/>
  <c r="R1055" i="1"/>
  <c r="Q1055" i="1"/>
  <c r="P1055" i="1"/>
  <c r="O1055" i="1"/>
  <c r="N1055" i="1"/>
  <c r="M1055" i="1"/>
  <c r="I1055" i="1"/>
  <c r="H1055" i="1"/>
  <c r="F1055" i="1"/>
  <c r="D1055" i="1"/>
  <c r="B1055" i="1"/>
  <c r="A1055" i="1"/>
  <c r="U1830" i="1"/>
  <c r="R1830" i="1"/>
  <c r="Q1830" i="1"/>
  <c r="P1830" i="1"/>
  <c r="O1830" i="1"/>
  <c r="N1830" i="1"/>
  <c r="M1830" i="1"/>
  <c r="I1830" i="1"/>
  <c r="H1830" i="1"/>
  <c r="F1830" i="1"/>
  <c r="D1830" i="1"/>
  <c r="B1830" i="1"/>
  <c r="A1830" i="1"/>
  <c r="U2028" i="1"/>
  <c r="R2028" i="1"/>
  <c r="Q2028" i="1"/>
  <c r="P2028" i="1"/>
  <c r="O2028" i="1"/>
  <c r="N2028" i="1"/>
  <c r="M2028" i="1"/>
  <c r="J2028" i="1"/>
  <c r="I2028" i="1"/>
  <c r="H2028" i="1"/>
  <c r="F2028" i="1"/>
  <c r="D2028" i="1"/>
  <c r="B2028" i="1"/>
  <c r="A2028" i="1"/>
  <c r="U2135" i="1"/>
  <c r="R2135" i="1"/>
  <c r="Q2135" i="1"/>
  <c r="P2135" i="1"/>
  <c r="O2135" i="1"/>
  <c r="N2135" i="1"/>
  <c r="M2135" i="1"/>
  <c r="J2135" i="1"/>
  <c r="I2135" i="1"/>
  <c r="H2135" i="1"/>
  <c r="F2135" i="1"/>
  <c r="D2135" i="1"/>
  <c r="B2135" i="1"/>
  <c r="A2135" i="1"/>
  <c r="U2456" i="1"/>
  <c r="R2456" i="1"/>
  <c r="Q2456" i="1"/>
  <c r="P2456" i="1"/>
  <c r="O2456" i="1"/>
  <c r="N2456" i="1"/>
  <c r="M2456" i="1"/>
  <c r="J2456" i="1"/>
  <c r="I2456" i="1"/>
  <c r="H2456" i="1"/>
  <c r="F2456" i="1"/>
  <c r="D2456" i="1"/>
  <c r="B2456" i="1"/>
  <c r="A2456" i="1"/>
  <c r="U1694" i="1"/>
  <c r="R1694" i="1"/>
  <c r="Q1694" i="1"/>
  <c r="P1694" i="1"/>
  <c r="O1694" i="1"/>
  <c r="N1694" i="1"/>
  <c r="M1694" i="1"/>
  <c r="J1694" i="1"/>
  <c r="I1694" i="1"/>
  <c r="H1694" i="1"/>
  <c r="F1694" i="1"/>
  <c r="D1694" i="1"/>
  <c r="B1694" i="1"/>
  <c r="A1694" i="1"/>
  <c r="U3246" i="1"/>
  <c r="R3246" i="1"/>
  <c r="Q3246" i="1"/>
  <c r="P3246" i="1"/>
  <c r="O3246" i="1"/>
  <c r="N3246" i="1"/>
  <c r="M3246" i="1"/>
  <c r="K3246" i="1"/>
  <c r="J3246" i="1"/>
  <c r="I3246" i="1"/>
  <c r="H3246" i="1"/>
  <c r="F3246" i="1"/>
  <c r="D3246" i="1"/>
  <c r="B3246" i="1"/>
  <c r="A3246" i="1"/>
  <c r="U2968" i="1"/>
  <c r="R2968" i="1"/>
  <c r="Q2968" i="1"/>
  <c r="P2968" i="1"/>
  <c r="O2968" i="1"/>
  <c r="N2968" i="1"/>
  <c r="M2968" i="1"/>
  <c r="J2968" i="1"/>
  <c r="I2968" i="1"/>
  <c r="H2968" i="1"/>
  <c r="F2968" i="1"/>
  <c r="D2968" i="1"/>
  <c r="B2968" i="1"/>
  <c r="A2968" i="1"/>
  <c r="U2513" i="1"/>
  <c r="R2513" i="1"/>
  <c r="Q2513" i="1"/>
  <c r="P2513" i="1"/>
  <c r="O2513" i="1"/>
  <c r="N2513" i="1"/>
  <c r="M2513" i="1"/>
  <c r="J2513" i="1"/>
  <c r="I2513" i="1"/>
  <c r="H2513" i="1"/>
  <c r="G2513" i="1"/>
  <c r="F2513" i="1"/>
  <c r="E2513" i="1"/>
  <c r="D2513" i="1"/>
  <c r="B2513" i="1"/>
  <c r="A2513" i="1"/>
  <c r="U2661" i="1"/>
  <c r="R2661" i="1"/>
  <c r="Q2661" i="1"/>
  <c r="P2661" i="1"/>
  <c r="O2661" i="1"/>
  <c r="N2661" i="1"/>
  <c r="M2661" i="1"/>
  <c r="J2661" i="1"/>
  <c r="I2661" i="1"/>
  <c r="H2661" i="1"/>
  <c r="F2661" i="1"/>
  <c r="D2661" i="1"/>
  <c r="B2661" i="1"/>
  <c r="A2661" i="1"/>
  <c r="U350" i="1"/>
  <c r="R350" i="1"/>
  <c r="Q350" i="1"/>
  <c r="P350" i="1"/>
  <c r="O350" i="1"/>
  <c r="N350" i="1"/>
  <c r="M350" i="1"/>
  <c r="I350" i="1"/>
  <c r="H350" i="1"/>
  <c r="F350" i="1"/>
  <c r="E350" i="1"/>
  <c r="D350" i="1"/>
  <c r="B350" i="1"/>
  <c r="A350" i="1"/>
  <c r="U1234" i="1"/>
  <c r="R1234" i="1"/>
  <c r="Q1234" i="1"/>
  <c r="P1234" i="1"/>
  <c r="O1234" i="1"/>
  <c r="N1234" i="1"/>
  <c r="M1234" i="1"/>
  <c r="J1234" i="1"/>
  <c r="I1234" i="1"/>
  <c r="H1234" i="1"/>
  <c r="F1234" i="1"/>
  <c r="D1234" i="1"/>
  <c r="B1234" i="1"/>
  <c r="A1234" i="1"/>
  <c r="U487" i="1"/>
  <c r="R487" i="1"/>
  <c r="Q487" i="1"/>
  <c r="P487" i="1"/>
  <c r="O487" i="1"/>
  <c r="N487" i="1"/>
  <c r="M487" i="1"/>
  <c r="J487" i="1"/>
  <c r="I487" i="1"/>
  <c r="H487" i="1"/>
  <c r="F487" i="1"/>
  <c r="D487" i="1"/>
  <c r="B487" i="1"/>
  <c r="A487" i="1"/>
  <c r="U2461" i="1"/>
  <c r="R2461" i="1"/>
  <c r="Q2461" i="1"/>
  <c r="P2461" i="1"/>
  <c r="O2461" i="1"/>
  <c r="N2461" i="1"/>
  <c r="M2461" i="1"/>
  <c r="J2461" i="1"/>
  <c r="I2461" i="1"/>
  <c r="H2461" i="1"/>
  <c r="F2461" i="1"/>
  <c r="D2461" i="1"/>
  <c r="B2461" i="1"/>
  <c r="A2461" i="1"/>
  <c r="U3038" i="1"/>
  <c r="R3038" i="1"/>
  <c r="Q3038" i="1"/>
  <c r="P3038" i="1"/>
  <c r="O3038" i="1"/>
  <c r="N3038" i="1"/>
  <c r="M3038" i="1"/>
  <c r="J3038" i="1"/>
  <c r="I3038" i="1"/>
  <c r="H3038" i="1"/>
  <c r="F3038" i="1"/>
  <c r="D3038" i="1"/>
  <c r="B3038" i="1"/>
  <c r="A3038" i="1"/>
  <c r="U3161" i="1"/>
  <c r="R3161" i="1"/>
  <c r="Q3161" i="1"/>
  <c r="P3161" i="1"/>
  <c r="O3161" i="1"/>
  <c r="N3161" i="1"/>
  <c r="M3161" i="1"/>
  <c r="J3161" i="1"/>
  <c r="I3161" i="1"/>
  <c r="H3161" i="1"/>
  <c r="F3161" i="1"/>
  <c r="D3161" i="1"/>
  <c r="B3161" i="1"/>
  <c r="A3161" i="1"/>
  <c r="U2626" i="1"/>
  <c r="R2626" i="1"/>
  <c r="Q2626" i="1"/>
  <c r="P2626" i="1"/>
  <c r="O2626" i="1"/>
  <c r="N2626" i="1"/>
  <c r="M2626" i="1"/>
  <c r="J2626" i="1"/>
  <c r="I2626" i="1"/>
  <c r="H2626" i="1"/>
  <c r="F2626" i="1"/>
  <c r="D2626" i="1"/>
  <c r="B2626" i="1"/>
  <c r="A2626" i="1"/>
  <c r="U2648" i="1"/>
  <c r="R2648" i="1"/>
  <c r="Q2648" i="1"/>
  <c r="P2648" i="1"/>
  <c r="O2648" i="1"/>
  <c r="N2648" i="1"/>
  <c r="M2648" i="1"/>
  <c r="J2648" i="1"/>
  <c r="I2648" i="1"/>
  <c r="H2648" i="1"/>
  <c r="F2648" i="1"/>
  <c r="D2648" i="1"/>
  <c r="B2648" i="1"/>
  <c r="A2648" i="1"/>
  <c r="U2902" i="1"/>
  <c r="R2902" i="1"/>
  <c r="Q2902" i="1"/>
  <c r="P2902" i="1"/>
  <c r="O2902" i="1"/>
  <c r="N2902" i="1"/>
  <c r="M2902" i="1"/>
  <c r="J2902" i="1"/>
  <c r="I2902" i="1"/>
  <c r="H2902" i="1"/>
  <c r="F2902" i="1"/>
  <c r="D2902" i="1"/>
  <c r="B2902" i="1"/>
  <c r="A2902" i="1"/>
  <c r="U3212" i="1"/>
  <c r="R3212" i="1"/>
  <c r="Q3212" i="1"/>
  <c r="P3212" i="1"/>
  <c r="O3212" i="1"/>
  <c r="N3212" i="1"/>
  <c r="M3212" i="1"/>
  <c r="J3212" i="1"/>
  <c r="I3212" i="1"/>
  <c r="H3212" i="1"/>
  <c r="F3212" i="1"/>
  <c r="D3212" i="1"/>
  <c r="B3212" i="1"/>
  <c r="A3212" i="1"/>
  <c r="U2188" i="1"/>
  <c r="R2188" i="1"/>
  <c r="Q2188" i="1"/>
  <c r="P2188" i="1"/>
  <c r="O2188" i="1"/>
  <c r="N2188" i="1"/>
  <c r="M2188" i="1"/>
  <c r="K2188" i="1"/>
  <c r="J2188" i="1"/>
  <c r="I2188" i="1"/>
  <c r="H2188" i="1"/>
  <c r="F2188" i="1"/>
  <c r="D2188" i="1"/>
  <c r="B2188" i="1"/>
  <c r="A2188" i="1"/>
  <c r="U44" i="1"/>
  <c r="R44" i="1"/>
  <c r="Q44" i="1"/>
  <c r="P44" i="1"/>
  <c r="O44" i="1"/>
  <c r="N44" i="1"/>
  <c r="M44" i="1"/>
  <c r="J44" i="1"/>
  <c r="I44" i="1"/>
  <c r="H44" i="1"/>
  <c r="F44" i="1"/>
  <c r="D44" i="1"/>
  <c r="B44" i="1"/>
  <c r="A44" i="1"/>
  <c r="U303" i="1"/>
  <c r="R303" i="1"/>
  <c r="Q303" i="1"/>
  <c r="P303" i="1"/>
  <c r="O303" i="1"/>
  <c r="N303" i="1"/>
  <c r="M303" i="1"/>
  <c r="J303" i="1"/>
  <c r="I303" i="1"/>
  <c r="H303" i="1"/>
  <c r="F303" i="1"/>
  <c r="D303" i="1"/>
  <c r="B303" i="1"/>
  <c r="A303" i="1"/>
  <c r="U774" i="1"/>
  <c r="R774" i="1"/>
  <c r="Q774" i="1"/>
  <c r="P774" i="1"/>
  <c r="O774" i="1"/>
  <c r="N774" i="1"/>
  <c r="M774" i="1"/>
  <c r="J774" i="1"/>
  <c r="I774" i="1"/>
  <c r="H774" i="1"/>
  <c r="F774" i="1"/>
  <c r="D774" i="1"/>
  <c r="B774" i="1"/>
  <c r="A774" i="1"/>
  <c r="U308" i="1"/>
  <c r="R308" i="1"/>
  <c r="Q308" i="1"/>
  <c r="P308" i="1"/>
  <c r="O308" i="1"/>
  <c r="N308" i="1"/>
  <c r="M308" i="1"/>
  <c r="I308" i="1"/>
  <c r="H308" i="1"/>
  <c r="F308" i="1"/>
  <c r="D308" i="1"/>
  <c r="B308" i="1"/>
  <c r="A308" i="1"/>
  <c r="U1022" i="1"/>
  <c r="R1022" i="1"/>
  <c r="Q1022" i="1"/>
  <c r="P1022" i="1"/>
  <c r="O1022" i="1"/>
  <c r="N1022" i="1"/>
  <c r="M1022" i="1"/>
  <c r="J1022" i="1"/>
  <c r="I1022" i="1"/>
  <c r="H1022" i="1"/>
  <c r="F1022" i="1"/>
  <c r="E1022" i="1"/>
  <c r="D1022" i="1"/>
  <c r="B1022" i="1"/>
  <c r="A1022" i="1"/>
  <c r="U1154" i="1"/>
  <c r="R1154" i="1"/>
  <c r="Q1154" i="1"/>
  <c r="P1154" i="1"/>
  <c r="O1154" i="1"/>
  <c r="N1154" i="1"/>
  <c r="M1154" i="1"/>
  <c r="I1154" i="1"/>
  <c r="H1154" i="1"/>
  <c r="F1154" i="1"/>
  <c r="D1154" i="1"/>
  <c r="B1154" i="1"/>
  <c r="A1154" i="1"/>
  <c r="U1790" i="1"/>
  <c r="R1790" i="1"/>
  <c r="Q1790" i="1"/>
  <c r="P1790" i="1"/>
  <c r="O1790" i="1"/>
  <c r="N1790" i="1"/>
  <c r="M1790" i="1"/>
  <c r="J1790" i="1"/>
  <c r="I1790" i="1"/>
  <c r="H1790" i="1"/>
  <c r="F1790" i="1"/>
  <c r="D1790" i="1"/>
  <c r="A1790" i="1"/>
  <c r="U1780" i="1"/>
  <c r="R1780" i="1"/>
  <c r="Q1780" i="1"/>
  <c r="P1780" i="1"/>
  <c r="O1780" i="1"/>
  <c r="N1780" i="1"/>
  <c r="M1780" i="1"/>
  <c r="J1780" i="1"/>
  <c r="I1780" i="1"/>
  <c r="H1780" i="1"/>
  <c r="G1780" i="1"/>
  <c r="F1780" i="1"/>
  <c r="D1780" i="1"/>
  <c r="B1780" i="1"/>
  <c r="A1780" i="1"/>
  <c r="U2017" i="1"/>
  <c r="R2017" i="1"/>
  <c r="Q2017" i="1"/>
  <c r="P2017" i="1"/>
  <c r="O2017" i="1"/>
  <c r="N2017" i="1"/>
  <c r="M2017" i="1"/>
  <c r="K2017" i="1"/>
  <c r="I2017" i="1"/>
  <c r="H2017" i="1"/>
  <c r="G2017" i="1"/>
  <c r="F2017" i="1"/>
  <c r="D2017" i="1"/>
  <c r="B2017" i="1"/>
  <c r="A2017" i="1"/>
  <c r="U2145" i="1"/>
  <c r="R2145" i="1"/>
  <c r="Q2145" i="1"/>
  <c r="P2145" i="1"/>
  <c r="O2145" i="1"/>
  <c r="N2145" i="1"/>
  <c r="M2145" i="1"/>
  <c r="J2145" i="1"/>
  <c r="I2145" i="1"/>
  <c r="H2145" i="1"/>
  <c r="F2145" i="1"/>
  <c r="D2145" i="1"/>
  <c r="B2145" i="1"/>
  <c r="A2145" i="1"/>
  <c r="U2192" i="1"/>
  <c r="R2192" i="1"/>
  <c r="Q2192" i="1"/>
  <c r="P2192" i="1"/>
  <c r="O2192" i="1"/>
  <c r="N2192" i="1"/>
  <c r="M2192" i="1"/>
  <c r="K2192" i="1"/>
  <c r="J2192" i="1"/>
  <c r="I2192" i="1"/>
  <c r="H2192" i="1"/>
  <c r="F2192" i="1"/>
  <c r="D2192" i="1"/>
  <c r="B2192" i="1"/>
  <c r="A2192" i="1"/>
  <c r="U2743" i="1"/>
  <c r="R2743" i="1"/>
  <c r="Q2743" i="1"/>
  <c r="P2743" i="1"/>
  <c r="O2743" i="1"/>
  <c r="N2743" i="1"/>
  <c r="M2743" i="1"/>
  <c r="K2743" i="1"/>
  <c r="J2743" i="1"/>
  <c r="I2743" i="1"/>
  <c r="H2743" i="1"/>
  <c r="F2743" i="1"/>
  <c r="D2743" i="1"/>
  <c r="B2743" i="1"/>
  <c r="A2743" i="1"/>
  <c r="U2454" i="1"/>
  <c r="R2454" i="1"/>
  <c r="Q2454" i="1"/>
  <c r="P2454" i="1"/>
  <c r="O2454" i="1"/>
  <c r="N2454" i="1"/>
  <c r="M2454" i="1"/>
  <c r="I2454" i="1"/>
  <c r="H2454" i="1"/>
  <c r="F2454" i="1"/>
  <c r="D2454" i="1"/>
  <c r="A2454" i="1"/>
  <c r="U2448" i="1"/>
  <c r="R2448" i="1"/>
  <c r="Q2448" i="1"/>
  <c r="P2448" i="1"/>
  <c r="O2448" i="1"/>
  <c r="N2448" i="1"/>
  <c r="M2448" i="1"/>
  <c r="K2448" i="1"/>
  <c r="J2448" i="1"/>
  <c r="I2448" i="1"/>
  <c r="H2448" i="1"/>
  <c r="F2448" i="1"/>
  <c r="E2448" i="1"/>
  <c r="D2448" i="1"/>
  <c r="B2448" i="1"/>
  <c r="A2448" i="1"/>
  <c r="U2457" i="1"/>
  <c r="R2457" i="1"/>
  <c r="Q2457" i="1"/>
  <c r="P2457" i="1"/>
  <c r="O2457" i="1"/>
  <c r="N2457" i="1"/>
  <c r="M2457" i="1"/>
  <c r="K2457" i="1"/>
  <c r="J2457" i="1"/>
  <c r="I2457" i="1"/>
  <c r="H2457" i="1"/>
  <c r="F2457" i="1"/>
  <c r="E2457" i="1"/>
  <c r="D2457" i="1"/>
  <c r="A2457" i="1"/>
  <c r="U2465" i="1"/>
  <c r="R2465" i="1"/>
  <c r="Q2465" i="1"/>
  <c r="P2465" i="1"/>
  <c r="O2465" i="1"/>
  <c r="N2465" i="1"/>
  <c r="M2465" i="1"/>
  <c r="K2465" i="1"/>
  <c r="J2465" i="1"/>
  <c r="I2465" i="1"/>
  <c r="H2465" i="1"/>
  <c r="F2465" i="1"/>
  <c r="D2465" i="1"/>
  <c r="A2465" i="1"/>
  <c r="U2470" i="1"/>
  <c r="R2470" i="1"/>
  <c r="Q2470" i="1"/>
  <c r="P2470" i="1"/>
  <c r="O2470" i="1"/>
  <c r="N2470" i="1"/>
  <c r="M2470" i="1"/>
  <c r="K2470" i="1"/>
  <c r="J2470" i="1"/>
  <c r="I2470" i="1"/>
  <c r="H2470" i="1"/>
  <c r="F2470" i="1"/>
  <c r="D2470" i="1"/>
  <c r="A2470" i="1"/>
  <c r="U2477" i="1"/>
  <c r="R2477" i="1"/>
  <c r="Q2477" i="1"/>
  <c r="P2477" i="1"/>
  <c r="O2477" i="1"/>
  <c r="N2477" i="1"/>
  <c r="M2477" i="1"/>
  <c r="K2477" i="1"/>
  <c r="J2477" i="1"/>
  <c r="I2477" i="1"/>
  <c r="H2477" i="1"/>
  <c r="F2477" i="1"/>
  <c r="D2477" i="1"/>
  <c r="A2477" i="1"/>
  <c r="U2602" i="1"/>
  <c r="R2602" i="1"/>
  <c r="Q2602" i="1"/>
  <c r="P2602" i="1"/>
  <c r="O2602" i="1"/>
  <c r="N2602" i="1"/>
  <c r="M2602" i="1"/>
  <c r="K2602" i="1"/>
  <c r="J2602" i="1"/>
  <c r="I2602" i="1"/>
  <c r="H2602" i="1"/>
  <c r="F2602" i="1"/>
  <c r="D2602" i="1"/>
  <c r="A2602" i="1"/>
  <c r="U2673" i="1"/>
  <c r="R2673" i="1"/>
  <c r="Q2673" i="1"/>
  <c r="P2673" i="1"/>
  <c r="O2673" i="1"/>
  <c r="N2673" i="1"/>
  <c r="M2673" i="1"/>
  <c r="J2673" i="1"/>
  <c r="I2673" i="1"/>
  <c r="H2673" i="1"/>
  <c r="F2673" i="1"/>
  <c r="D2673" i="1"/>
  <c r="A2673" i="1"/>
  <c r="U2802" i="1"/>
  <c r="R2802" i="1"/>
  <c r="Q2802" i="1"/>
  <c r="P2802" i="1"/>
  <c r="O2802" i="1"/>
  <c r="N2802" i="1"/>
  <c r="M2802" i="1"/>
  <c r="K2802" i="1"/>
  <c r="J2802" i="1"/>
  <c r="I2802" i="1"/>
  <c r="H2802" i="1"/>
  <c r="F2802" i="1"/>
  <c r="D2802" i="1"/>
  <c r="B2802" i="1"/>
  <c r="A2802" i="1"/>
  <c r="U33" i="1"/>
  <c r="R33" i="1"/>
  <c r="Q33" i="1"/>
  <c r="P33" i="1"/>
  <c r="O33" i="1"/>
  <c r="N33" i="1"/>
  <c r="M33" i="1"/>
  <c r="J33" i="1"/>
  <c r="I33" i="1"/>
  <c r="H33" i="1"/>
  <c r="F33" i="1"/>
  <c r="D33" i="1"/>
  <c r="B33" i="1"/>
  <c r="A33" i="1"/>
  <c r="U82" i="1"/>
  <c r="R82" i="1"/>
  <c r="Q82" i="1"/>
  <c r="P82" i="1"/>
  <c r="O82" i="1"/>
  <c r="N82" i="1"/>
  <c r="M82" i="1"/>
  <c r="J82" i="1"/>
  <c r="I82" i="1"/>
  <c r="H82" i="1"/>
  <c r="F82" i="1"/>
  <c r="D82" i="1"/>
  <c r="B82" i="1"/>
  <c r="A82" i="1"/>
  <c r="U203" i="1"/>
  <c r="R203" i="1"/>
  <c r="Q203" i="1"/>
  <c r="P203" i="1"/>
  <c r="O203" i="1"/>
  <c r="N203" i="1"/>
  <c r="M203" i="1"/>
  <c r="J203" i="1"/>
  <c r="I203" i="1"/>
  <c r="H203" i="1"/>
  <c r="F203" i="1"/>
  <c r="D203" i="1"/>
  <c r="B203" i="1"/>
  <c r="A203" i="1"/>
  <c r="U123" i="1"/>
  <c r="R123" i="1"/>
  <c r="Q123" i="1"/>
  <c r="P123" i="1"/>
  <c r="O123" i="1"/>
  <c r="N123" i="1"/>
  <c r="M123" i="1"/>
  <c r="J123" i="1"/>
  <c r="I123" i="1"/>
  <c r="H123" i="1"/>
  <c r="F123" i="1"/>
  <c r="D123" i="1"/>
  <c r="B123" i="1"/>
  <c r="A123" i="1"/>
  <c r="U358" i="1"/>
  <c r="R358" i="1"/>
  <c r="Q358" i="1"/>
  <c r="P358" i="1"/>
  <c r="O358" i="1"/>
  <c r="N358" i="1"/>
  <c r="M358" i="1"/>
  <c r="J358" i="1"/>
  <c r="I358" i="1"/>
  <c r="H358" i="1"/>
  <c r="F358" i="1"/>
  <c r="D358" i="1"/>
  <c r="A358" i="1"/>
  <c r="U166" i="1"/>
  <c r="R166" i="1"/>
  <c r="Q166" i="1"/>
  <c r="P166" i="1"/>
  <c r="O166" i="1"/>
  <c r="N166" i="1"/>
  <c r="M166" i="1"/>
  <c r="J166" i="1"/>
  <c r="I166" i="1"/>
  <c r="H166" i="1"/>
  <c r="F166" i="1"/>
  <c r="D166" i="1"/>
  <c r="B166" i="1"/>
  <c r="A166" i="1"/>
  <c r="U422" i="1"/>
  <c r="R422" i="1"/>
  <c r="Q422" i="1"/>
  <c r="P422" i="1"/>
  <c r="O422" i="1"/>
  <c r="N422" i="1"/>
  <c r="M422" i="1"/>
  <c r="J422" i="1"/>
  <c r="I422" i="1"/>
  <c r="H422" i="1"/>
  <c r="F422" i="1"/>
  <c r="D422" i="1"/>
  <c r="B422" i="1"/>
  <c r="A422" i="1"/>
  <c r="U568" i="1"/>
  <c r="R568" i="1"/>
  <c r="Q568" i="1"/>
  <c r="P568" i="1"/>
  <c r="O568" i="1"/>
  <c r="N568" i="1"/>
  <c r="M568" i="1"/>
  <c r="I568" i="1"/>
  <c r="H568" i="1"/>
  <c r="F568" i="1"/>
  <c r="D568" i="1"/>
  <c r="B568" i="1"/>
  <c r="A568" i="1"/>
  <c r="U578" i="1"/>
  <c r="R578" i="1"/>
  <c r="Q578" i="1"/>
  <c r="P578" i="1"/>
  <c r="O578" i="1"/>
  <c r="N578" i="1"/>
  <c r="M578" i="1"/>
  <c r="J578" i="1"/>
  <c r="I578" i="1"/>
  <c r="H578" i="1"/>
  <c r="F578" i="1"/>
  <c r="D578" i="1"/>
  <c r="B578" i="1"/>
  <c r="A578" i="1"/>
  <c r="U466" i="1"/>
  <c r="R466" i="1"/>
  <c r="Q466" i="1"/>
  <c r="P466" i="1"/>
  <c r="O466" i="1"/>
  <c r="N466" i="1"/>
  <c r="M466" i="1"/>
  <c r="J466" i="1"/>
  <c r="I466" i="1"/>
  <c r="H466" i="1"/>
  <c r="F466" i="1"/>
  <c r="D466" i="1"/>
  <c r="B466" i="1"/>
  <c r="A466" i="1"/>
  <c r="U459" i="1"/>
  <c r="R459" i="1"/>
  <c r="Q459" i="1"/>
  <c r="P459" i="1"/>
  <c r="O459" i="1"/>
  <c r="N459" i="1"/>
  <c r="M459" i="1"/>
  <c r="J459" i="1"/>
  <c r="I459" i="1"/>
  <c r="H459" i="1"/>
  <c r="F459" i="1"/>
  <c r="D459" i="1"/>
  <c r="B459" i="1"/>
  <c r="A459" i="1"/>
  <c r="U651" i="1"/>
  <c r="R651" i="1"/>
  <c r="Q651" i="1"/>
  <c r="P651" i="1"/>
  <c r="O651" i="1"/>
  <c r="N651" i="1"/>
  <c r="M651" i="1"/>
  <c r="I651" i="1"/>
  <c r="H651" i="1"/>
  <c r="F651" i="1"/>
  <c r="D651" i="1"/>
  <c r="B651" i="1"/>
  <c r="A651" i="1"/>
  <c r="U506" i="1"/>
  <c r="R506" i="1"/>
  <c r="Q506" i="1"/>
  <c r="P506" i="1"/>
  <c r="O506" i="1"/>
  <c r="N506" i="1"/>
  <c r="M506" i="1"/>
  <c r="I506" i="1"/>
  <c r="H506" i="1"/>
  <c r="G506" i="1"/>
  <c r="F506" i="1"/>
  <c r="E506" i="1"/>
  <c r="D506" i="1"/>
  <c r="B506" i="1"/>
  <c r="A506" i="1"/>
  <c r="U839" i="1"/>
  <c r="R839" i="1"/>
  <c r="Q839" i="1"/>
  <c r="P839" i="1"/>
  <c r="O839" i="1"/>
  <c r="N839" i="1"/>
  <c r="M839" i="1"/>
  <c r="J839" i="1"/>
  <c r="I839" i="1"/>
  <c r="H839" i="1"/>
  <c r="F839" i="1"/>
  <c r="D839" i="1"/>
  <c r="A839" i="1"/>
  <c r="U964" i="1"/>
  <c r="R964" i="1"/>
  <c r="Q964" i="1"/>
  <c r="P964" i="1"/>
  <c r="O964" i="1"/>
  <c r="N964" i="1"/>
  <c r="M964" i="1"/>
  <c r="J964" i="1"/>
  <c r="I964" i="1"/>
  <c r="H964" i="1"/>
  <c r="F964" i="1"/>
  <c r="D964" i="1"/>
  <c r="B964" i="1"/>
  <c r="A964" i="1"/>
  <c r="U849" i="1"/>
  <c r="R849" i="1"/>
  <c r="Q849" i="1"/>
  <c r="P849" i="1"/>
  <c r="O849" i="1"/>
  <c r="N849" i="1"/>
  <c r="M849" i="1"/>
  <c r="I849" i="1"/>
  <c r="H849" i="1"/>
  <c r="F849" i="1"/>
  <c r="D849" i="1"/>
  <c r="B849" i="1"/>
  <c r="A849" i="1"/>
  <c r="U1021" i="1"/>
  <c r="R1021" i="1"/>
  <c r="Q1021" i="1"/>
  <c r="P1021" i="1"/>
  <c r="O1021" i="1"/>
  <c r="N1021" i="1"/>
  <c r="M1021" i="1"/>
  <c r="J1021" i="1"/>
  <c r="I1021" i="1"/>
  <c r="H1021" i="1"/>
  <c r="F1021" i="1"/>
  <c r="D1021" i="1"/>
  <c r="B1021" i="1"/>
  <c r="A1021" i="1"/>
  <c r="U738" i="1"/>
  <c r="R738" i="1"/>
  <c r="Q738" i="1"/>
  <c r="P738" i="1"/>
  <c r="O738" i="1"/>
  <c r="N738" i="1"/>
  <c r="M738" i="1"/>
  <c r="J738" i="1"/>
  <c r="I738" i="1"/>
  <c r="H738" i="1"/>
  <c r="F738" i="1"/>
  <c r="D738" i="1"/>
  <c r="B738" i="1"/>
  <c r="A738" i="1"/>
  <c r="U1216" i="1"/>
  <c r="R1216" i="1"/>
  <c r="Q1216" i="1"/>
  <c r="P1216" i="1"/>
  <c r="O1216" i="1"/>
  <c r="N1216" i="1"/>
  <c r="M1216" i="1"/>
  <c r="J1216" i="1"/>
  <c r="I1216" i="1"/>
  <c r="H1216" i="1"/>
  <c r="F1216" i="1"/>
  <c r="D1216" i="1"/>
  <c r="B1216" i="1"/>
  <c r="A1216" i="1"/>
  <c r="U1114" i="1"/>
  <c r="R1114" i="1"/>
  <c r="Q1114" i="1"/>
  <c r="P1114" i="1"/>
  <c r="O1114" i="1"/>
  <c r="N1114" i="1"/>
  <c r="M1114" i="1"/>
  <c r="J1114" i="1"/>
  <c r="I1114" i="1"/>
  <c r="H1114" i="1"/>
  <c r="F1114" i="1"/>
  <c r="D1114" i="1"/>
  <c r="B1114" i="1"/>
  <c r="A1114" i="1"/>
  <c r="U1306" i="1"/>
  <c r="R1306" i="1"/>
  <c r="Q1306" i="1"/>
  <c r="P1306" i="1"/>
  <c r="O1306" i="1"/>
  <c r="N1306" i="1"/>
  <c r="M1306" i="1"/>
  <c r="I1306" i="1"/>
  <c r="H1306" i="1"/>
  <c r="F1306" i="1"/>
  <c r="D1306" i="1"/>
  <c r="B1306" i="1"/>
  <c r="A1306" i="1"/>
  <c r="U1345" i="1"/>
  <c r="R1345" i="1"/>
  <c r="Q1345" i="1"/>
  <c r="P1345" i="1"/>
  <c r="O1345" i="1"/>
  <c r="N1345" i="1"/>
  <c r="M1345" i="1"/>
  <c r="J1345" i="1"/>
  <c r="I1345" i="1"/>
  <c r="H1345" i="1"/>
  <c r="F1345" i="1"/>
  <c r="D1345" i="1"/>
  <c r="A1345" i="1"/>
  <c r="U1343" i="1"/>
  <c r="R1343" i="1"/>
  <c r="Q1343" i="1"/>
  <c r="P1343" i="1"/>
  <c r="O1343" i="1"/>
  <c r="N1343" i="1"/>
  <c r="M1343" i="1"/>
  <c r="J1343" i="1"/>
  <c r="I1343" i="1"/>
  <c r="H1343" i="1"/>
  <c r="F1343" i="1"/>
  <c r="D1343" i="1"/>
  <c r="A1343" i="1"/>
  <c r="U1352" i="1"/>
  <c r="R1352" i="1"/>
  <c r="Q1352" i="1"/>
  <c r="P1352" i="1"/>
  <c r="O1352" i="1"/>
  <c r="N1352" i="1"/>
  <c r="M1352" i="1"/>
  <c r="J1352" i="1"/>
  <c r="I1352" i="1"/>
  <c r="H1352" i="1"/>
  <c r="F1352" i="1"/>
  <c r="D1352" i="1"/>
  <c r="B1352" i="1"/>
  <c r="A1352" i="1"/>
  <c r="U1342" i="1"/>
  <c r="R1342" i="1"/>
  <c r="Q1342" i="1"/>
  <c r="P1342" i="1"/>
  <c r="O1342" i="1"/>
  <c r="N1342" i="1"/>
  <c r="M1342" i="1"/>
  <c r="J1342" i="1"/>
  <c r="I1342" i="1"/>
  <c r="H1342" i="1"/>
  <c r="F1342" i="1"/>
  <c r="D1342" i="1"/>
  <c r="B1342" i="1"/>
  <c r="A1342" i="1"/>
  <c r="U1399" i="1"/>
  <c r="R1399" i="1"/>
  <c r="Q1399" i="1"/>
  <c r="P1399" i="1"/>
  <c r="O1399" i="1"/>
  <c r="N1399" i="1"/>
  <c r="M1399" i="1"/>
  <c r="J1399" i="1"/>
  <c r="I1399" i="1"/>
  <c r="H1399" i="1"/>
  <c r="F1399" i="1"/>
  <c r="D1399" i="1"/>
  <c r="A1399" i="1"/>
  <c r="U1430" i="1"/>
  <c r="R1430" i="1"/>
  <c r="Q1430" i="1"/>
  <c r="P1430" i="1"/>
  <c r="O1430" i="1"/>
  <c r="N1430" i="1"/>
  <c r="M1430" i="1"/>
  <c r="J1430" i="1"/>
  <c r="I1430" i="1"/>
  <c r="H1430" i="1"/>
  <c r="F1430" i="1"/>
  <c r="D1430" i="1"/>
  <c r="A1430" i="1"/>
  <c r="U1472" i="1"/>
  <c r="R1472" i="1"/>
  <c r="Q1472" i="1"/>
  <c r="P1472" i="1"/>
  <c r="O1472" i="1"/>
  <c r="N1472" i="1"/>
  <c r="M1472" i="1"/>
  <c r="J1472" i="1"/>
  <c r="I1472" i="1"/>
  <c r="H1472" i="1"/>
  <c r="F1472" i="1"/>
  <c r="D1472" i="1"/>
  <c r="B1472" i="1"/>
  <c r="A1472" i="1"/>
  <c r="U1480" i="1"/>
  <c r="R1480" i="1"/>
  <c r="Q1480" i="1"/>
  <c r="P1480" i="1"/>
  <c r="O1480" i="1"/>
  <c r="N1480" i="1"/>
  <c r="M1480" i="1"/>
  <c r="J1480" i="1"/>
  <c r="I1480" i="1"/>
  <c r="H1480" i="1"/>
  <c r="G1480" i="1"/>
  <c r="F1480" i="1"/>
  <c r="D1480" i="1"/>
  <c r="B1480" i="1"/>
  <c r="A1480" i="1"/>
  <c r="U1494" i="1"/>
  <c r="R1494" i="1"/>
  <c r="Q1494" i="1"/>
  <c r="P1494" i="1"/>
  <c r="O1494" i="1"/>
  <c r="N1494" i="1"/>
  <c r="M1494" i="1"/>
  <c r="J1494" i="1"/>
  <c r="I1494" i="1"/>
  <c r="H1494" i="1"/>
  <c r="F1494" i="1"/>
  <c r="D1494" i="1"/>
  <c r="B1494" i="1"/>
  <c r="A1494" i="1"/>
  <c r="U1657" i="1"/>
  <c r="R1657" i="1"/>
  <c r="Q1657" i="1"/>
  <c r="P1657" i="1"/>
  <c r="O1657" i="1"/>
  <c r="N1657" i="1"/>
  <c r="M1657" i="1"/>
  <c r="J1657" i="1"/>
  <c r="I1657" i="1"/>
  <c r="H1657" i="1"/>
  <c r="F1657" i="1"/>
  <c r="D1657" i="1"/>
  <c r="A1657" i="1"/>
  <c r="U1670" i="1"/>
  <c r="R1670" i="1"/>
  <c r="Q1670" i="1"/>
  <c r="P1670" i="1"/>
  <c r="O1670" i="1"/>
  <c r="N1670" i="1"/>
  <c r="M1670" i="1"/>
  <c r="J1670" i="1"/>
  <c r="I1670" i="1"/>
  <c r="H1670" i="1"/>
  <c r="F1670" i="1"/>
  <c r="D1670" i="1"/>
  <c r="A1670" i="1"/>
  <c r="U1706" i="1"/>
  <c r="R1706" i="1"/>
  <c r="Q1706" i="1"/>
  <c r="P1706" i="1"/>
  <c r="O1706" i="1"/>
  <c r="N1706" i="1"/>
  <c r="M1706" i="1"/>
  <c r="J1706" i="1"/>
  <c r="I1706" i="1"/>
  <c r="H1706" i="1"/>
  <c r="F1706" i="1"/>
  <c r="D1706" i="1"/>
  <c r="B1706" i="1"/>
  <c r="A1706" i="1"/>
  <c r="U1792" i="1"/>
  <c r="R1792" i="1"/>
  <c r="Q1792" i="1"/>
  <c r="P1792" i="1"/>
  <c r="O1792" i="1"/>
  <c r="N1792" i="1"/>
  <c r="M1792" i="1"/>
  <c r="J1792" i="1"/>
  <c r="I1792" i="1"/>
  <c r="H1792" i="1"/>
  <c r="F1792" i="1"/>
  <c r="E1792" i="1"/>
  <c r="D1792" i="1"/>
  <c r="B1792" i="1"/>
  <c r="A1792" i="1"/>
  <c r="U1845" i="1"/>
  <c r="R1845" i="1"/>
  <c r="Q1845" i="1"/>
  <c r="P1845" i="1"/>
  <c r="O1845" i="1"/>
  <c r="N1845" i="1"/>
  <c r="M1845" i="1"/>
  <c r="J1845" i="1"/>
  <c r="I1845" i="1"/>
  <c r="H1845" i="1"/>
  <c r="F1845" i="1"/>
  <c r="D1845" i="1"/>
  <c r="B1845" i="1"/>
  <c r="A1845" i="1"/>
  <c r="U1953" i="1"/>
  <c r="R1953" i="1"/>
  <c r="Q1953" i="1"/>
  <c r="P1953" i="1"/>
  <c r="O1953" i="1"/>
  <c r="N1953" i="1"/>
  <c r="M1953" i="1"/>
  <c r="J1953" i="1"/>
  <c r="I1953" i="1"/>
  <c r="H1953" i="1"/>
  <c r="F1953" i="1"/>
  <c r="D1953" i="1"/>
  <c r="A1953" i="1"/>
  <c r="U2007" i="1"/>
  <c r="R2007" i="1"/>
  <c r="Q2007" i="1"/>
  <c r="P2007" i="1"/>
  <c r="O2007" i="1"/>
  <c r="N2007" i="1"/>
  <c r="M2007" i="1"/>
  <c r="J2007" i="1"/>
  <c r="I2007" i="1"/>
  <c r="H2007" i="1"/>
  <c r="F2007" i="1"/>
  <c r="E2007" i="1"/>
  <c r="D2007" i="1"/>
  <c r="B2007" i="1"/>
  <c r="A2007" i="1"/>
  <c r="U2338" i="1"/>
  <c r="R2338" i="1"/>
  <c r="Q2338" i="1"/>
  <c r="P2338" i="1"/>
  <c r="O2338" i="1"/>
  <c r="N2338" i="1"/>
  <c r="M2338" i="1"/>
  <c r="K2338" i="1"/>
  <c r="J2338" i="1"/>
  <c r="I2338" i="1"/>
  <c r="H2338" i="1"/>
  <c r="F2338" i="1"/>
  <c r="E2338" i="1"/>
  <c r="D2338" i="1"/>
  <c r="B2338" i="1"/>
  <c r="A2338" i="1"/>
  <c r="U2414" i="1"/>
  <c r="R2414" i="1"/>
  <c r="Q2414" i="1"/>
  <c r="P2414" i="1"/>
  <c r="O2414" i="1"/>
  <c r="N2414" i="1"/>
  <c r="M2414" i="1"/>
  <c r="K2414" i="1"/>
  <c r="J2414" i="1"/>
  <c r="I2414" i="1"/>
  <c r="H2414" i="1"/>
  <c r="F2414" i="1"/>
  <c r="E2414" i="1"/>
  <c r="D2414" i="1"/>
  <c r="A2414" i="1"/>
  <c r="U2413" i="1"/>
  <c r="R2413" i="1"/>
  <c r="Q2413" i="1"/>
  <c r="P2413" i="1"/>
  <c r="O2413" i="1"/>
  <c r="N2413" i="1"/>
  <c r="M2413" i="1"/>
  <c r="K2413" i="1"/>
  <c r="J2413" i="1"/>
  <c r="I2413" i="1"/>
  <c r="H2413" i="1"/>
  <c r="F2413" i="1"/>
  <c r="D2413" i="1"/>
  <c r="A2413" i="1"/>
  <c r="U2120" i="1"/>
  <c r="R2120" i="1"/>
  <c r="Q2120" i="1"/>
  <c r="P2120" i="1"/>
  <c r="O2120" i="1"/>
  <c r="N2120" i="1"/>
  <c r="M2120" i="1"/>
  <c r="K2120" i="1"/>
  <c r="J2120" i="1"/>
  <c r="I2120" i="1"/>
  <c r="H2120" i="1"/>
  <c r="F2120" i="1"/>
  <c r="D2120" i="1"/>
  <c r="A2120" i="1"/>
  <c r="U2178" i="1"/>
  <c r="R2178" i="1"/>
  <c r="Q2178" i="1"/>
  <c r="P2178" i="1"/>
  <c r="O2178" i="1"/>
  <c r="N2178" i="1"/>
  <c r="M2178" i="1"/>
  <c r="J2178" i="1"/>
  <c r="I2178" i="1"/>
  <c r="H2178" i="1"/>
  <c r="F2178" i="1"/>
  <c r="E2178" i="1"/>
  <c r="D2178" i="1"/>
  <c r="B2178" i="1"/>
  <c r="A2178" i="1"/>
  <c r="U2231" i="1"/>
  <c r="R2231" i="1"/>
  <c r="Q2231" i="1"/>
  <c r="P2231" i="1"/>
  <c r="O2231" i="1"/>
  <c r="N2231" i="1"/>
  <c r="M2231" i="1"/>
  <c r="J2231" i="1"/>
  <c r="I2231" i="1"/>
  <c r="H2231" i="1"/>
  <c r="F2231" i="1"/>
  <c r="D2231" i="1"/>
  <c r="A2231" i="1"/>
  <c r="U2300" i="1"/>
  <c r="R2300" i="1"/>
  <c r="Q2300" i="1"/>
  <c r="P2300" i="1"/>
  <c r="O2300" i="1"/>
  <c r="N2300" i="1"/>
  <c r="M2300" i="1"/>
  <c r="K2300" i="1"/>
  <c r="J2300" i="1"/>
  <c r="I2300" i="1"/>
  <c r="H2300" i="1"/>
  <c r="F2300" i="1"/>
  <c r="D2300" i="1"/>
  <c r="B2300" i="1"/>
  <c r="A2300" i="1"/>
  <c r="U1680" i="1"/>
  <c r="R1680" i="1"/>
  <c r="Q1680" i="1"/>
  <c r="P1680" i="1"/>
  <c r="O1680" i="1"/>
  <c r="N1680" i="1"/>
  <c r="M1680" i="1"/>
  <c r="J1680" i="1"/>
  <c r="I1680" i="1"/>
  <c r="H1680" i="1"/>
  <c r="G1680" i="1"/>
  <c r="F1680" i="1"/>
  <c r="D1680" i="1"/>
  <c r="A1680" i="1"/>
  <c r="U1679" i="1"/>
  <c r="R1679" i="1"/>
  <c r="Q1679" i="1"/>
  <c r="P1679" i="1"/>
  <c r="O1679" i="1"/>
  <c r="N1679" i="1"/>
  <c r="M1679" i="1"/>
  <c r="J1679" i="1"/>
  <c r="I1679" i="1"/>
  <c r="H1679" i="1"/>
  <c r="F1679" i="1"/>
  <c r="D1679" i="1"/>
  <c r="A1679" i="1"/>
  <c r="U1911" i="1"/>
  <c r="R1911" i="1"/>
  <c r="Q1911" i="1"/>
  <c r="P1911" i="1"/>
  <c r="O1911" i="1"/>
  <c r="N1911" i="1"/>
  <c r="M1911" i="1"/>
  <c r="J1911" i="1"/>
  <c r="I1911" i="1"/>
  <c r="H1911" i="1"/>
  <c r="F1911" i="1"/>
  <c r="D1911" i="1"/>
  <c r="A1911" i="1"/>
  <c r="U2357" i="1"/>
  <c r="R2357" i="1"/>
  <c r="Q2357" i="1"/>
  <c r="P2357" i="1"/>
  <c r="O2357" i="1"/>
  <c r="N2357" i="1"/>
  <c r="M2357" i="1"/>
  <c r="K2357" i="1"/>
  <c r="J2357" i="1"/>
  <c r="I2357" i="1"/>
  <c r="H2357" i="1"/>
  <c r="F2357" i="1"/>
  <c r="D2357" i="1"/>
  <c r="B2357" i="1"/>
  <c r="A2357" i="1"/>
  <c r="U2562" i="1"/>
  <c r="R2562" i="1"/>
  <c r="Q2562" i="1"/>
  <c r="P2562" i="1"/>
  <c r="O2562" i="1"/>
  <c r="N2562" i="1"/>
  <c r="M2562" i="1"/>
  <c r="K2562" i="1"/>
  <c r="J2562" i="1"/>
  <c r="I2562" i="1"/>
  <c r="H2562" i="1"/>
  <c r="F2562" i="1"/>
  <c r="D2562" i="1"/>
  <c r="A2562" i="1"/>
  <c r="U2134" i="1"/>
  <c r="R2134" i="1"/>
  <c r="Q2134" i="1"/>
  <c r="P2134" i="1"/>
  <c r="O2134" i="1"/>
  <c r="N2134" i="1"/>
  <c r="M2134" i="1"/>
  <c r="J2134" i="1"/>
  <c r="I2134" i="1"/>
  <c r="H2134" i="1"/>
  <c r="F2134" i="1"/>
  <c r="D2134" i="1"/>
  <c r="B2134" i="1"/>
  <c r="A2134" i="1"/>
  <c r="U2464" i="1"/>
  <c r="R2464" i="1"/>
  <c r="Q2464" i="1"/>
  <c r="P2464" i="1"/>
  <c r="O2464" i="1"/>
  <c r="N2464" i="1"/>
  <c r="M2464" i="1"/>
  <c r="K2464" i="1"/>
  <c r="J2464" i="1"/>
  <c r="I2464" i="1"/>
  <c r="H2464" i="1"/>
  <c r="F2464" i="1"/>
  <c r="D2464" i="1"/>
  <c r="B2464" i="1"/>
  <c r="A2464" i="1"/>
  <c r="U2322" i="1"/>
  <c r="R2322" i="1"/>
  <c r="Q2322" i="1"/>
  <c r="P2322" i="1"/>
  <c r="O2322" i="1"/>
  <c r="N2322" i="1"/>
  <c r="M2322" i="1"/>
  <c r="K2322" i="1"/>
  <c r="J2322" i="1"/>
  <c r="I2322" i="1"/>
  <c r="H2322" i="1"/>
  <c r="F2322" i="1"/>
  <c r="E2322" i="1"/>
  <c r="D2322" i="1"/>
  <c r="B2322" i="1"/>
  <c r="A2322" i="1"/>
  <c r="U1708" i="1"/>
  <c r="R1708" i="1"/>
  <c r="Q1708" i="1"/>
  <c r="P1708" i="1"/>
  <c r="O1708" i="1"/>
  <c r="N1708" i="1"/>
  <c r="M1708" i="1"/>
  <c r="J1708" i="1"/>
  <c r="I1708" i="1"/>
  <c r="H1708" i="1"/>
  <c r="F1708" i="1"/>
  <c r="E1708" i="1"/>
  <c r="D1708" i="1"/>
  <c r="B1708" i="1"/>
  <c r="A1708" i="1"/>
  <c r="U2981" i="1"/>
  <c r="R2981" i="1"/>
  <c r="Q2981" i="1"/>
  <c r="P2981" i="1"/>
  <c r="O2981" i="1"/>
  <c r="N2981" i="1"/>
  <c r="M2981" i="1"/>
  <c r="K2981" i="1"/>
  <c r="J2981" i="1"/>
  <c r="I2981" i="1"/>
  <c r="H2981" i="1"/>
  <c r="F2981" i="1"/>
  <c r="D2981" i="1"/>
  <c r="A2981" i="1"/>
  <c r="U2409" i="1"/>
  <c r="R2409" i="1"/>
  <c r="Q2409" i="1"/>
  <c r="P2409" i="1"/>
  <c r="O2409" i="1"/>
  <c r="N2409" i="1"/>
  <c r="M2409" i="1"/>
  <c r="K2409" i="1"/>
  <c r="J2409" i="1"/>
  <c r="I2409" i="1"/>
  <c r="H2409" i="1"/>
  <c r="F2409" i="1"/>
  <c r="D2409" i="1"/>
  <c r="B2409" i="1"/>
  <c r="A2409" i="1"/>
  <c r="U3194" i="1"/>
  <c r="R3194" i="1"/>
  <c r="Q3194" i="1"/>
  <c r="P3194" i="1"/>
  <c r="O3194" i="1"/>
  <c r="N3194" i="1"/>
  <c r="M3194" i="1"/>
  <c r="K3194" i="1"/>
  <c r="J3194" i="1"/>
  <c r="I3194" i="1"/>
  <c r="H3194" i="1"/>
  <c r="F3194" i="1"/>
  <c r="D3194" i="1"/>
  <c r="B3194" i="1"/>
  <c r="A3194" i="1"/>
  <c r="U3203" i="1"/>
  <c r="R3203" i="1"/>
  <c r="Q3203" i="1"/>
  <c r="P3203" i="1"/>
  <c r="O3203" i="1"/>
  <c r="N3203" i="1"/>
  <c r="M3203" i="1"/>
  <c r="J3203" i="1"/>
  <c r="I3203" i="1"/>
  <c r="H3203" i="1"/>
  <c r="F3203" i="1"/>
  <c r="D3203" i="1"/>
  <c r="B3203" i="1"/>
  <c r="A3203" i="1"/>
  <c r="U3197" i="1"/>
  <c r="R3197" i="1"/>
  <c r="Q3197" i="1"/>
  <c r="P3197" i="1"/>
  <c r="O3197" i="1"/>
  <c r="N3197" i="1"/>
  <c r="M3197" i="1"/>
  <c r="K3197" i="1"/>
  <c r="J3197" i="1"/>
  <c r="I3197" i="1"/>
  <c r="H3197" i="1"/>
  <c r="F3197" i="1"/>
  <c r="E3197" i="1"/>
  <c r="D3197" i="1"/>
  <c r="B3197" i="1"/>
  <c r="A3197" i="1"/>
  <c r="U3204" i="1"/>
  <c r="R3204" i="1"/>
  <c r="Q3204" i="1"/>
  <c r="P3204" i="1"/>
  <c r="O3204" i="1"/>
  <c r="N3204" i="1"/>
  <c r="M3204" i="1"/>
  <c r="K3204" i="1"/>
  <c r="J3204" i="1"/>
  <c r="I3204" i="1"/>
  <c r="H3204" i="1"/>
  <c r="F3204" i="1"/>
  <c r="D3204" i="1"/>
  <c r="B3204" i="1"/>
  <c r="A3204" i="1"/>
  <c r="U2982" i="1"/>
  <c r="R2982" i="1"/>
  <c r="Q2982" i="1"/>
  <c r="P2982" i="1"/>
  <c r="O2982" i="1"/>
  <c r="N2982" i="1"/>
  <c r="M2982" i="1"/>
  <c r="K2982" i="1"/>
  <c r="J2982" i="1"/>
  <c r="I2982" i="1"/>
  <c r="H2982" i="1"/>
  <c r="F2982" i="1"/>
  <c r="E2982" i="1"/>
  <c r="D2982" i="1"/>
  <c r="B2982" i="1"/>
  <c r="A2982" i="1"/>
  <c r="U2998" i="1"/>
  <c r="R2998" i="1"/>
  <c r="Q2998" i="1"/>
  <c r="P2998" i="1"/>
  <c r="O2998" i="1"/>
  <c r="N2998" i="1"/>
  <c r="M2998" i="1"/>
  <c r="K2998" i="1"/>
  <c r="J2998" i="1"/>
  <c r="I2998" i="1"/>
  <c r="H2998" i="1"/>
  <c r="G2998" i="1"/>
  <c r="F2998" i="1"/>
  <c r="D2998" i="1"/>
  <c r="B2998" i="1"/>
  <c r="A2998" i="1"/>
  <c r="U507" i="1"/>
  <c r="R507" i="1"/>
  <c r="Q507" i="1"/>
  <c r="P507" i="1"/>
  <c r="O507" i="1"/>
  <c r="N507" i="1"/>
  <c r="M507" i="1"/>
  <c r="J507" i="1"/>
  <c r="I507" i="1"/>
  <c r="H507" i="1"/>
  <c r="F507" i="1"/>
  <c r="D507" i="1"/>
  <c r="B507" i="1"/>
  <c r="A507" i="1"/>
  <c r="U2023" i="1"/>
  <c r="R2023" i="1"/>
  <c r="Q2023" i="1"/>
  <c r="P2023" i="1"/>
  <c r="O2023" i="1"/>
  <c r="N2023" i="1"/>
  <c r="M2023" i="1"/>
  <c r="K2023" i="1"/>
  <c r="J2023" i="1"/>
  <c r="I2023" i="1"/>
  <c r="H2023" i="1"/>
  <c r="G2023" i="1"/>
  <c r="F2023" i="1"/>
  <c r="D2023" i="1"/>
  <c r="B2023" i="1"/>
  <c r="A2023" i="1"/>
  <c r="U2367" i="1"/>
  <c r="R2367" i="1"/>
  <c r="Q2367" i="1"/>
  <c r="P2367" i="1"/>
  <c r="O2367" i="1"/>
  <c r="N2367" i="1"/>
  <c r="M2367" i="1"/>
  <c r="J2367" i="1"/>
  <c r="I2367" i="1"/>
  <c r="H2367" i="1"/>
  <c r="G2367" i="1"/>
  <c r="F2367" i="1"/>
  <c r="E2367" i="1"/>
  <c r="D2367" i="1"/>
  <c r="B2367" i="1"/>
  <c r="A2367" i="1"/>
  <c r="U294" i="1"/>
  <c r="R294" i="1"/>
  <c r="Q294" i="1"/>
  <c r="P294" i="1"/>
  <c r="O294" i="1"/>
  <c r="N294" i="1"/>
  <c r="M294" i="1"/>
  <c r="I294" i="1"/>
  <c r="H294" i="1"/>
  <c r="F294" i="1"/>
  <c r="D294" i="1"/>
  <c r="A294" i="1"/>
  <c r="U681" i="1"/>
  <c r="R681" i="1"/>
  <c r="Q681" i="1"/>
  <c r="P681" i="1"/>
  <c r="O681" i="1"/>
  <c r="N681" i="1"/>
  <c r="M681" i="1"/>
  <c r="J681" i="1"/>
  <c r="I681" i="1"/>
  <c r="H681" i="1"/>
  <c r="F681" i="1"/>
  <c r="D681" i="1"/>
  <c r="A681" i="1"/>
  <c r="U2598" i="1"/>
  <c r="R2598" i="1"/>
  <c r="Q2598" i="1"/>
  <c r="P2598" i="1"/>
  <c r="O2598" i="1"/>
  <c r="N2598" i="1"/>
  <c r="M2598" i="1"/>
  <c r="J2598" i="1"/>
  <c r="I2598" i="1"/>
  <c r="H2598" i="1"/>
  <c r="F2598" i="1"/>
  <c r="D2598" i="1"/>
  <c r="B2598" i="1"/>
  <c r="A2598" i="1"/>
  <c r="U1426" i="1"/>
  <c r="R1426" i="1"/>
  <c r="Q1426" i="1"/>
  <c r="P1426" i="1"/>
  <c r="O1426" i="1"/>
  <c r="N1426" i="1"/>
  <c r="M1426" i="1"/>
  <c r="J1426" i="1"/>
  <c r="I1426" i="1"/>
  <c r="H1426" i="1"/>
  <c r="F1426" i="1"/>
  <c r="D1426" i="1"/>
  <c r="B1426" i="1"/>
  <c r="A1426" i="1"/>
  <c r="U1541" i="1"/>
  <c r="R1541" i="1"/>
  <c r="Q1541" i="1"/>
  <c r="P1541" i="1"/>
  <c r="O1541" i="1"/>
  <c r="N1541" i="1"/>
  <c r="M1541" i="1"/>
  <c r="J1541" i="1"/>
  <c r="I1541" i="1"/>
  <c r="H1541" i="1"/>
  <c r="F1541" i="1"/>
  <c r="D1541" i="1"/>
  <c r="A1541" i="1"/>
  <c r="U1747" i="1"/>
  <c r="R1747" i="1"/>
  <c r="Q1747" i="1"/>
  <c r="P1747" i="1"/>
  <c r="O1747" i="1"/>
  <c r="N1747" i="1"/>
  <c r="M1747" i="1"/>
  <c r="J1747" i="1"/>
  <c r="I1747" i="1"/>
  <c r="H1747" i="1"/>
  <c r="F1747" i="1"/>
  <c r="D1747" i="1"/>
  <c r="A1747" i="1"/>
  <c r="U1993" i="1"/>
  <c r="R1993" i="1"/>
  <c r="Q1993" i="1"/>
  <c r="P1993" i="1"/>
  <c r="O1993" i="1"/>
  <c r="N1993" i="1"/>
  <c r="M1993" i="1"/>
  <c r="J1993" i="1"/>
  <c r="I1993" i="1"/>
  <c r="H1993" i="1"/>
  <c r="F1993" i="1"/>
  <c r="D1993" i="1"/>
  <c r="A1993" i="1"/>
  <c r="U2683" i="1"/>
  <c r="R2683" i="1"/>
  <c r="Q2683" i="1"/>
  <c r="P2683" i="1"/>
  <c r="O2683" i="1"/>
  <c r="N2683" i="1"/>
  <c r="M2683" i="1"/>
  <c r="K2683" i="1"/>
  <c r="J2683" i="1"/>
  <c r="I2683" i="1"/>
  <c r="H2683" i="1"/>
  <c r="F2683" i="1"/>
  <c r="D2683" i="1"/>
  <c r="B2683" i="1"/>
  <c r="A2683" i="1"/>
  <c r="U3063" i="1"/>
  <c r="R3063" i="1"/>
  <c r="Q3063" i="1"/>
  <c r="P3063" i="1"/>
  <c r="O3063" i="1"/>
  <c r="N3063" i="1"/>
  <c r="M3063" i="1"/>
  <c r="K3063" i="1"/>
  <c r="J3063" i="1"/>
  <c r="I3063" i="1"/>
  <c r="H3063" i="1"/>
  <c r="F3063" i="1"/>
  <c r="D3063" i="1"/>
  <c r="B3063" i="1"/>
  <c r="A3063" i="1"/>
  <c r="U3245" i="1"/>
  <c r="R3245" i="1"/>
  <c r="Q3245" i="1"/>
  <c r="P3245" i="1"/>
  <c r="O3245" i="1"/>
  <c r="N3245" i="1"/>
  <c r="M3245" i="1"/>
  <c r="J3245" i="1"/>
  <c r="I3245" i="1"/>
  <c r="H3245" i="1"/>
  <c r="F3245" i="1"/>
  <c r="D3245" i="1"/>
  <c r="B3245" i="1"/>
  <c r="A3245" i="1"/>
  <c r="U3244" i="1"/>
  <c r="R3244" i="1"/>
  <c r="Q3244" i="1"/>
  <c r="P3244" i="1"/>
  <c r="O3244" i="1"/>
  <c r="N3244" i="1"/>
  <c r="M3244" i="1"/>
  <c r="J3244" i="1"/>
  <c r="I3244" i="1"/>
  <c r="H3244" i="1"/>
  <c r="F3244" i="1"/>
  <c r="D3244" i="1"/>
  <c r="B3244" i="1"/>
  <c r="A3244" i="1"/>
  <c r="U1844" i="1"/>
  <c r="R1844" i="1"/>
  <c r="Q1844" i="1"/>
  <c r="P1844" i="1"/>
  <c r="O1844" i="1"/>
  <c r="N1844" i="1"/>
  <c r="M1844" i="1"/>
  <c r="K1844" i="1"/>
  <c r="J1844" i="1"/>
  <c r="I1844" i="1"/>
  <c r="H1844" i="1"/>
  <c r="F1844" i="1"/>
  <c r="D1844" i="1"/>
  <c r="B1844" i="1"/>
  <c r="A1844" i="1"/>
  <c r="U3243" i="1"/>
  <c r="R3243" i="1"/>
  <c r="Q3243" i="1"/>
  <c r="P3243" i="1"/>
  <c r="O3243" i="1"/>
  <c r="N3243" i="1"/>
  <c r="M3243" i="1"/>
  <c r="K3243" i="1"/>
  <c r="J3243" i="1"/>
  <c r="I3243" i="1"/>
  <c r="H3243" i="1"/>
  <c r="F3243" i="1"/>
  <c r="D3243" i="1"/>
  <c r="A3243" i="1"/>
  <c r="U3216" i="1"/>
  <c r="R3216" i="1"/>
  <c r="Q3216" i="1"/>
  <c r="P3216" i="1"/>
  <c r="O3216" i="1"/>
  <c r="N3216" i="1"/>
  <c r="M3216" i="1"/>
  <c r="K3216" i="1"/>
  <c r="J3216" i="1"/>
  <c r="I3216" i="1"/>
  <c r="H3216" i="1"/>
  <c r="F3216" i="1"/>
  <c r="D3216" i="1"/>
  <c r="B3216" i="1"/>
  <c r="A3216" i="1"/>
  <c r="U2681" i="1"/>
  <c r="R2681" i="1"/>
  <c r="Q2681" i="1"/>
  <c r="P2681" i="1"/>
  <c r="O2681" i="1"/>
  <c r="N2681" i="1"/>
  <c r="M2681" i="1"/>
  <c r="K2681" i="1"/>
  <c r="J2681" i="1"/>
  <c r="I2681" i="1"/>
  <c r="H2681" i="1"/>
  <c r="F2681" i="1"/>
  <c r="D2681" i="1"/>
  <c r="B2681" i="1"/>
  <c r="A2681" i="1"/>
  <c r="U3242" i="1"/>
  <c r="R3242" i="1"/>
  <c r="Q3242" i="1"/>
  <c r="P3242" i="1"/>
  <c r="O3242" i="1"/>
  <c r="N3242" i="1"/>
  <c r="M3242" i="1"/>
  <c r="J3242" i="1"/>
  <c r="I3242" i="1"/>
  <c r="H3242" i="1"/>
  <c r="F3242" i="1"/>
  <c r="D3242" i="1"/>
  <c r="B3242" i="1"/>
  <c r="A3242" i="1"/>
  <c r="U2303" i="1"/>
  <c r="R2303" i="1"/>
  <c r="Q2303" i="1"/>
  <c r="P2303" i="1"/>
  <c r="O2303" i="1"/>
  <c r="N2303" i="1"/>
  <c r="M2303" i="1"/>
  <c r="K2303" i="1"/>
  <c r="J2303" i="1"/>
  <c r="I2303" i="1"/>
  <c r="H2303" i="1"/>
  <c r="F2303" i="1"/>
  <c r="D2303" i="1"/>
  <c r="B2303" i="1"/>
  <c r="A2303" i="1"/>
  <c r="U2302" i="1"/>
  <c r="R2302" i="1"/>
  <c r="Q2302" i="1"/>
  <c r="P2302" i="1"/>
  <c r="O2302" i="1"/>
  <c r="N2302" i="1"/>
  <c r="M2302" i="1"/>
  <c r="K2302" i="1"/>
  <c r="J2302" i="1"/>
  <c r="I2302" i="1"/>
  <c r="H2302" i="1"/>
  <c r="F2302" i="1"/>
  <c r="D2302" i="1"/>
  <c r="B2302" i="1"/>
  <c r="A2302" i="1"/>
  <c r="U2301" i="1"/>
  <c r="R2301" i="1"/>
  <c r="Q2301" i="1"/>
  <c r="P2301" i="1"/>
  <c r="O2301" i="1"/>
  <c r="N2301" i="1"/>
  <c r="M2301" i="1"/>
  <c r="K2301" i="1"/>
  <c r="J2301" i="1"/>
  <c r="I2301" i="1"/>
  <c r="H2301" i="1"/>
  <c r="F2301" i="1"/>
  <c r="D2301" i="1"/>
  <c r="B2301" i="1"/>
  <c r="A2301" i="1"/>
  <c r="U2578" i="1"/>
  <c r="R2578" i="1"/>
  <c r="Q2578" i="1"/>
  <c r="P2578" i="1"/>
  <c r="O2578" i="1"/>
  <c r="N2578" i="1"/>
  <c r="M2578" i="1"/>
  <c r="K2578" i="1"/>
  <c r="J2578" i="1"/>
  <c r="I2578" i="1"/>
  <c r="H2578" i="1"/>
  <c r="F2578" i="1"/>
  <c r="D2578" i="1"/>
  <c r="B2578" i="1"/>
  <c r="A2578" i="1"/>
  <c r="U1407" i="1"/>
  <c r="R1407" i="1"/>
  <c r="Q1407" i="1"/>
  <c r="P1407" i="1"/>
  <c r="O1407" i="1"/>
  <c r="N1407" i="1"/>
  <c r="M1407" i="1"/>
  <c r="K1407" i="1"/>
  <c r="J1407" i="1"/>
  <c r="I1407" i="1"/>
  <c r="H1407" i="1"/>
  <c r="F1407" i="1"/>
  <c r="E1407" i="1"/>
  <c r="D1407" i="1"/>
  <c r="B1407" i="1"/>
  <c r="A1407" i="1"/>
  <c r="U65" i="1"/>
  <c r="R65" i="1"/>
  <c r="Q65" i="1"/>
  <c r="P65" i="1"/>
  <c r="O65" i="1"/>
  <c r="N65" i="1"/>
  <c r="M65" i="1"/>
  <c r="J65" i="1"/>
  <c r="I65" i="1"/>
  <c r="H65" i="1"/>
  <c r="F65" i="1"/>
  <c r="D65" i="1"/>
  <c r="B65" i="1"/>
  <c r="A65" i="1"/>
  <c r="U302" i="1"/>
  <c r="R302" i="1"/>
  <c r="Q302" i="1"/>
  <c r="P302" i="1"/>
  <c r="O302" i="1"/>
  <c r="N302" i="1"/>
  <c r="M302" i="1"/>
  <c r="J302" i="1"/>
  <c r="I302" i="1"/>
  <c r="H302" i="1"/>
  <c r="F302" i="1"/>
  <c r="D302" i="1"/>
  <c r="B302" i="1"/>
  <c r="A302" i="1"/>
  <c r="U593" i="1"/>
  <c r="R593" i="1"/>
  <c r="Q593" i="1"/>
  <c r="P593" i="1"/>
  <c r="O593" i="1"/>
  <c r="N593" i="1"/>
  <c r="M593" i="1"/>
  <c r="I593" i="1"/>
  <c r="H593" i="1"/>
  <c r="F593" i="1"/>
  <c r="D593" i="1"/>
  <c r="B593" i="1"/>
  <c r="A593" i="1"/>
  <c r="U546" i="1"/>
  <c r="R546" i="1"/>
  <c r="Q546" i="1"/>
  <c r="P546" i="1"/>
  <c r="O546" i="1"/>
  <c r="N546" i="1"/>
  <c r="M546" i="1"/>
  <c r="J546" i="1"/>
  <c r="I546" i="1"/>
  <c r="H546" i="1"/>
  <c r="F546" i="1"/>
  <c r="D546" i="1"/>
  <c r="B546" i="1"/>
  <c r="A546" i="1"/>
  <c r="U227" i="1"/>
  <c r="R227" i="1"/>
  <c r="Q227" i="1"/>
  <c r="P227" i="1"/>
  <c r="O227" i="1"/>
  <c r="N227" i="1"/>
  <c r="M227" i="1"/>
  <c r="J227" i="1"/>
  <c r="I227" i="1"/>
  <c r="H227" i="1"/>
  <c r="G227" i="1"/>
  <c r="F227" i="1"/>
  <c r="D227" i="1"/>
  <c r="B227" i="1"/>
  <c r="A227" i="1"/>
  <c r="U216" i="1"/>
  <c r="R216" i="1"/>
  <c r="Q216" i="1"/>
  <c r="P216" i="1"/>
  <c r="O216" i="1"/>
  <c r="N216" i="1"/>
  <c r="M216" i="1"/>
  <c r="I216" i="1"/>
  <c r="H216" i="1"/>
  <c r="F216" i="1"/>
  <c r="D216" i="1"/>
  <c r="B216" i="1"/>
  <c r="A216" i="1"/>
  <c r="U1169" i="1"/>
  <c r="R1169" i="1"/>
  <c r="Q1169" i="1"/>
  <c r="P1169" i="1"/>
  <c r="O1169" i="1"/>
  <c r="N1169" i="1"/>
  <c r="M1169" i="1"/>
  <c r="I1169" i="1"/>
  <c r="H1169" i="1"/>
  <c r="F1169" i="1"/>
  <c r="E1169" i="1"/>
  <c r="D1169" i="1"/>
  <c r="A1169" i="1"/>
  <c r="U1293" i="1"/>
  <c r="R1293" i="1"/>
  <c r="Q1293" i="1"/>
  <c r="P1293" i="1"/>
  <c r="O1293" i="1"/>
  <c r="N1293" i="1"/>
  <c r="M1293" i="1"/>
  <c r="J1293" i="1"/>
  <c r="I1293" i="1"/>
  <c r="H1293" i="1"/>
  <c r="F1293" i="1"/>
  <c r="D1293" i="1"/>
  <c r="B1293" i="1"/>
  <c r="A1293" i="1"/>
  <c r="U1816" i="1"/>
  <c r="R1816" i="1"/>
  <c r="Q1816" i="1"/>
  <c r="P1816" i="1"/>
  <c r="O1816" i="1"/>
  <c r="N1816" i="1"/>
  <c r="M1816" i="1"/>
  <c r="J1816" i="1"/>
  <c r="I1816" i="1"/>
  <c r="H1816" i="1"/>
  <c r="F1816" i="1"/>
  <c r="D1816" i="1"/>
  <c r="A1816" i="1"/>
  <c r="U1846" i="1"/>
  <c r="R1846" i="1"/>
  <c r="Q1846" i="1"/>
  <c r="P1846" i="1"/>
  <c r="O1846" i="1"/>
  <c r="N1846" i="1"/>
  <c r="M1846" i="1"/>
  <c r="J1846" i="1"/>
  <c r="I1846" i="1"/>
  <c r="H1846" i="1"/>
  <c r="F1846" i="1"/>
  <c r="D1846" i="1"/>
  <c r="A1846" i="1"/>
  <c r="U1" i="1"/>
  <c r="T1" i="1"/>
  <c r="S1" i="1"/>
  <c r="R1" i="1"/>
  <c r="Q1" i="1"/>
  <c r="P1" i="1"/>
  <c r="O1" i="1"/>
  <c r="N1" i="1"/>
  <c r="M1" i="1"/>
  <c r="K1" i="1"/>
  <c r="J1" i="1"/>
  <c r="I1" i="1"/>
  <c r="H1" i="1"/>
  <c r="G1" i="1"/>
  <c r="F1" i="1"/>
  <c r="E1" i="1"/>
  <c r="D1" i="1"/>
  <c r="C1" i="1"/>
  <c r="B1" i="1"/>
  <c r="A1" i="1"/>
  <c r="R8" i="2" l="1"/>
  <c r="S8" i="2"/>
  <c r="T8" i="2"/>
  <c r="U8" i="2"/>
  <c r="R9" i="2"/>
  <c r="S9" i="2"/>
  <c r="T9" i="2"/>
  <c r="U9" i="2"/>
  <c r="R10" i="2"/>
  <c r="S10" i="2"/>
  <c r="T10" i="2"/>
  <c r="U10" i="2"/>
  <c r="R11" i="2"/>
  <c r="S11" i="2"/>
  <c r="T11" i="2"/>
  <c r="U11" i="2"/>
  <c r="R12" i="2"/>
  <c r="S12" i="2"/>
  <c r="T12" i="2"/>
  <c r="U12" i="2"/>
  <c r="U7" i="2"/>
  <c r="T7" i="2"/>
  <c r="S7" i="2"/>
  <c r="R7" i="2"/>
  <c r="C36" i="2"/>
  <c r="R36" i="2" s="1"/>
  <c r="D36" i="2"/>
  <c r="E36" i="2"/>
  <c r="F36" i="2"/>
  <c r="G36" i="2"/>
  <c r="H36" i="2"/>
  <c r="S36" i="2" s="1"/>
  <c r="I36" i="2"/>
  <c r="T36" i="2" s="1"/>
  <c r="J36" i="2"/>
  <c r="K36" i="2"/>
  <c r="L36" i="2"/>
  <c r="M36" i="2"/>
  <c r="N36" i="2"/>
  <c r="U36" i="2" s="1"/>
  <c r="N35" i="2" l="1"/>
  <c r="L35" i="2"/>
  <c r="M35" i="2"/>
  <c r="U35" i="2" l="1"/>
  <c r="E35" i="2"/>
  <c r="F35" i="2"/>
  <c r="G35" i="2"/>
  <c r="H35" i="2"/>
  <c r="S35" i="2" s="1"/>
  <c r="I35" i="2"/>
  <c r="J35" i="2"/>
  <c r="K35" i="2"/>
  <c r="T35" i="2" l="1"/>
  <c r="C32" i="2"/>
  <c r="D32" i="2"/>
  <c r="E32" i="2"/>
  <c r="F32" i="2"/>
  <c r="G32" i="2"/>
  <c r="H32" i="2"/>
  <c r="S32" i="2" s="1"/>
  <c r="I32" i="2"/>
  <c r="T32" i="2" s="1"/>
  <c r="J32" i="2"/>
  <c r="K32" i="2"/>
  <c r="L32" i="2"/>
  <c r="M32" i="2"/>
  <c r="N32" i="2"/>
  <c r="C33" i="2"/>
  <c r="D33" i="2"/>
  <c r="E33" i="2"/>
  <c r="F33" i="2"/>
  <c r="G33" i="2"/>
  <c r="H33" i="2"/>
  <c r="I33" i="2"/>
  <c r="J33" i="2"/>
  <c r="K33" i="2"/>
  <c r="L33" i="2"/>
  <c r="M33" i="2"/>
  <c r="N33" i="2"/>
  <c r="C34" i="2"/>
  <c r="D34" i="2"/>
  <c r="E34" i="2"/>
  <c r="F34" i="2"/>
  <c r="G34" i="2"/>
  <c r="H34" i="2"/>
  <c r="S34" i="2" s="1"/>
  <c r="I34" i="2"/>
  <c r="T34" i="2" s="1"/>
  <c r="J34" i="2"/>
  <c r="K34" i="2"/>
  <c r="L34" i="2"/>
  <c r="M34" i="2"/>
  <c r="N34" i="2"/>
  <c r="U34" i="2" s="1"/>
  <c r="C35" i="2"/>
  <c r="D35" i="2"/>
  <c r="E31" i="2"/>
  <c r="F31" i="2"/>
  <c r="G31" i="2"/>
  <c r="H31" i="2"/>
  <c r="I31" i="2"/>
  <c r="J31" i="2"/>
  <c r="K31" i="2"/>
  <c r="L31" i="2"/>
  <c r="M31" i="2"/>
  <c r="N31" i="2"/>
  <c r="D31" i="2"/>
  <c r="C31" i="2"/>
  <c r="E30" i="2"/>
  <c r="F30" i="2"/>
  <c r="G30" i="2"/>
  <c r="H30" i="2"/>
  <c r="I30" i="2"/>
  <c r="J30" i="2"/>
  <c r="K30" i="2"/>
  <c r="L30" i="2"/>
  <c r="M30" i="2"/>
  <c r="N30" i="2"/>
  <c r="D30" i="2"/>
  <c r="F21" i="2"/>
  <c r="U32" i="2" l="1"/>
  <c r="R33" i="2"/>
  <c r="T33" i="2"/>
  <c r="R35" i="2"/>
  <c r="R31" i="2"/>
  <c r="S31" i="2"/>
  <c r="S33" i="2"/>
  <c r="T31" i="2"/>
  <c r="R32" i="2"/>
  <c r="R34" i="2"/>
  <c r="U31" i="2"/>
  <c r="U33" i="2"/>
  <c r="E21" i="2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7" i="2"/>
  <c r="E17" i="2"/>
  <c r="D17" i="2"/>
  <c r="C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  <author>Gaëtan Philipson</author>
  </authors>
  <commentList>
    <comment ref="B3" authorId="0" shapeId="0" xr:uid="{00000000-0006-0000-0000-000001000000}">
      <text>
        <r>
          <rPr>
            <sz val="9"/>
            <color indexed="81"/>
            <rFont val="Tahoma"/>
            <family val="2"/>
          </rPr>
          <t>#IPC_DATASHARE#source_serie_ipc£id=8281£controle=99027£</t>
        </r>
      </text>
    </comment>
    <comment ref="Q3" authorId="1" shapeId="0" xr:uid="{6AF05D20-655A-4B03-9DDA-667043E862CD}">
      <text>
        <r>
          <rPr>
            <sz val="9"/>
            <color indexed="81"/>
            <rFont val="Tahoma"/>
            <charset val="1"/>
          </rPr>
          <t>#IPC_DATASHARE#source_serie_ipc£id=11517£controle=99757£</t>
        </r>
      </text>
    </comment>
    <comment ref="B14" authorId="0" shapeId="0" xr:uid="{00000000-0006-0000-0000-000002000000}">
      <text>
        <r>
          <rPr>
            <sz val="9"/>
            <color indexed="81"/>
            <rFont val="Tahoma"/>
            <family val="2"/>
          </rPr>
          <t>#IPC_DATASHARE#source_serie_ipc£id=8283£controle=99757£</t>
        </r>
      </text>
    </comment>
    <comment ref="Q27" authorId="1" shapeId="0" xr:uid="{BDED32B7-0569-45D4-986E-8BF81DC91152}">
      <text>
        <r>
          <rPr>
            <sz val="9"/>
            <color indexed="81"/>
            <rFont val="Tahoma"/>
            <charset val="1"/>
          </rPr>
          <t>#IPC_DATASHARE#source_serie_ipc£id=11516£controle=96593£</t>
        </r>
      </text>
    </comment>
  </commentList>
</comments>
</file>

<file path=xl/sharedStrings.xml><?xml version="1.0" encoding="utf-8"?>
<sst xmlns="http://schemas.openxmlformats.org/spreadsheetml/2006/main" count="47" uniqueCount="22">
  <si>
    <t>Date ouvert</t>
  </si>
  <si>
    <t>Cumul nombre de centres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</si>
  <si>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</si>
  <si>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</si>
  <si>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</si>
  <si>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</si>
  <si>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</si>
  <si>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</si>
  <si>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</si>
  <si>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</si>
  <si>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</si>
  <si>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</si>
  <si>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</si>
  <si>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</si>
  <si>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1T</t>
  </si>
  <si>
    <t>2T</t>
  </si>
  <si>
    <t>3T</t>
  </si>
  <si>
    <t>4T</t>
  </si>
  <si>
    <t>Création  nombre de centres</t>
  </si>
  <si>
    <t>Dernière synchronisation le 03 Mai 2023 18h20</t>
  </si>
  <si>
    <t>Dernière synchronisation le 04 Mai 2023 13h28</t>
  </si>
  <si>
    <t>Dernière synchronisation le 04 Mai 2023 13h31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</si>
</sst>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99"/>
      <name val="Calibri"/>
      <family val="2"/>
      <scheme val="minor"/>
    </font>
    <font>
      <sz val="11"/>
      <color rgb="FFA6A6A6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5" fontId="0" fillId="0" borderId="0" xfId="0" applyNumberFormat="1"/>
    <xf numFmtId="0" fontId="18" fillId="33" borderId="0" xfId="0" applyFont="1" applyFill="1" applyAlignment="1">
      <alignment horizontal="left"/>
    </xf>
    <xf numFmtId="0" fontId="19" fillId="0" borderId="0" xfId="0" applyFont="1"/>
    <xf numFmtId="0" fontId="0" fillId="0" borderId="10" xfId="0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U36"/>
  <sheetViews>
    <sheetView topLeftCell="A4" zoomScale="70" zoomScaleNormal="70" workbookViewId="0">
      <selection activeCell="Q3" sqref="Q3:U12"/>
    </sheetView>
  </sheetViews>
  <sheetFormatPr baseColWidth="10" defaultRowHeight="14.4" x14ac:dyDescent="0.3"/>
  <sheetData>
    <row r="3" spans="2:21" x14ac:dyDescent="0.3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Q3" s="2" t="s">
        <v>18</v>
      </c>
      <c r="R3" s="2"/>
      <c r="S3" s="2"/>
      <c r="T3" s="2"/>
      <c r="U3" s="2"/>
    </row>
    <row r="4" spans="2:21" x14ac:dyDescent="0.3">
      <c r="B4" s="3" t="s">
        <v>20</v>
      </c>
      <c r="Q4" s="3" t="s">
        <v>21</v>
      </c>
    </row>
    <row r="5" spans="2:21" x14ac:dyDescent="0.3">
      <c r="B5" s="4"/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Q5" s="4"/>
      <c r="R5" s="4" t="s">
        <v>14</v>
      </c>
      <c r="S5" s="4" t="s">
        <v>15</v>
      </c>
      <c r="T5" s="4" t="s">
        <v>16</v>
      </c>
      <c r="U5" s="4" t="s">
        <v>17</v>
      </c>
    </row>
    <row r="6" spans="2:21" x14ac:dyDescent="0.3">
      <c r="B6" s="4">
        <v>2017</v>
      </c>
      <c r="C6" s="4">
        <v>1690</v>
      </c>
      <c r="D6" s="4">
        <v>1698</v>
      </c>
      <c r="E6" s="4">
        <v>1712</v>
      </c>
      <c r="F6" s="4">
        <v>1722</v>
      </c>
      <c r="G6" s="4">
        <v>1733</v>
      </c>
      <c r="H6" s="4">
        <v>1753</v>
      </c>
      <c r="I6" s="4">
        <v>1766</v>
      </c>
      <c r="J6" s="4">
        <v>1775</v>
      </c>
      <c r="K6" s="4">
        <v>1778</v>
      </c>
      <c r="L6" s="4">
        <v>1793</v>
      </c>
      <c r="M6" s="4">
        <v>1804</v>
      </c>
      <c r="N6" s="4">
        <v>1817</v>
      </c>
      <c r="Q6" s="4">
        <v>2017</v>
      </c>
      <c r="R6" s="4"/>
      <c r="S6" s="4"/>
      <c r="T6" s="4"/>
      <c r="U6" s="4"/>
    </row>
    <row r="7" spans="2:21" x14ac:dyDescent="0.3">
      <c r="B7" s="4">
        <v>2018</v>
      </c>
      <c r="C7" s="4">
        <v>1840</v>
      </c>
      <c r="D7" s="4">
        <v>1848</v>
      </c>
      <c r="E7" s="4">
        <v>1863</v>
      </c>
      <c r="F7" s="4">
        <v>1885</v>
      </c>
      <c r="G7" s="4">
        <v>1898</v>
      </c>
      <c r="H7" s="4">
        <v>1907</v>
      </c>
      <c r="I7" s="4">
        <v>1915</v>
      </c>
      <c r="J7" s="4">
        <v>1921</v>
      </c>
      <c r="K7" s="4">
        <v>1941</v>
      </c>
      <c r="L7" s="4">
        <v>1957</v>
      </c>
      <c r="M7" s="4">
        <v>1966</v>
      </c>
      <c r="N7" s="4">
        <v>1978</v>
      </c>
      <c r="Q7" s="4">
        <v>2018</v>
      </c>
      <c r="R7" s="4">
        <f>E7</f>
        <v>1863</v>
      </c>
      <c r="S7" s="4">
        <f>H7</f>
        <v>1907</v>
      </c>
      <c r="T7" s="4">
        <f>K7</f>
        <v>1941</v>
      </c>
      <c r="U7" s="4">
        <f>N7</f>
        <v>1978</v>
      </c>
    </row>
    <row r="8" spans="2:21" x14ac:dyDescent="0.3">
      <c r="B8" s="4">
        <v>2019</v>
      </c>
      <c r="C8" s="4">
        <v>1995</v>
      </c>
      <c r="D8" s="4">
        <v>2007</v>
      </c>
      <c r="E8" s="4">
        <v>2025</v>
      </c>
      <c r="F8" s="4">
        <v>2041</v>
      </c>
      <c r="G8" s="4">
        <v>2055</v>
      </c>
      <c r="H8" s="4">
        <v>2077</v>
      </c>
      <c r="I8" s="4">
        <v>2088</v>
      </c>
      <c r="J8" s="4">
        <v>2095</v>
      </c>
      <c r="K8" s="4">
        <v>2120</v>
      </c>
      <c r="L8" s="4">
        <v>2138</v>
      </c>
      <c r="M8" s="4">
        <v>2156</v>
      </c>
      <c r="N8" s="4">
        <v>2190</v>
      </c>
      <c r="Q8" s="4">
        <v>2019</v>
      </c>
      <c r="R8" s="4">
        <f t="shared" ref="R8:R12" si="0">E8</f>
        <v>2025</v>
      </c>
      <c r="S8" s="4">
        <f t="shared" ref="S8:S12" si="1">H8</f>
        <v>2077</v>
      </c>
      <c r="T8" s="4">
        <f t="shared" ref="T8:T12" si="2">K8</f>
        <v>2120</v>
      </c>
      <c r="U8" s="4">
        <f t="shared" ref="U8:U12" si="3">N8</f>
        <v>2190</v>
      </c>
    </row>
    <row r="9" spans="2:21" x14ac:dyDescent="0.3">
      <c r="B9" s="4">
        <v>2020</v>
      </c>
      <c r="C9" s="4">
        <v>2175</v>
      </c>
      <c r="D9" s="4">
        <v>2210</v>
      </c>
      <c r="E9" s="4">
        <v>2226</v>
      </c>
      <c r="F9" s="4">
        <v>2227</v>
      </c>
      <c r="G9" s="4">
        <v>2244</v>
      </c>
      <c r="H9" s="4">
        <v>2295</v>
      </c>
      <c r="I9" s="4">
        <v>2344</v>
      </c>
      <c r="J9" s="4">
        <v>2356</v>
      </c>
      <c r="K9" s="4">
        <v>2372</v>
      </c>
      <c r="L9" s="4">
        <v>2397</v>
      </c>
      <c r="M9" s="4">
        <v>2416</v>
      </c>
      <c r="N9" s="4">
        <v>2432</v>
      </c>
      <c r="Q9" s="4">
        <v>2020</v>
      </c>
      <c r="R9" s="4">
        <f t="shared" si="0"/>
        <v>2226</v>
      </c>
      <c r="S9" s="4">
        <f t="shared" si="1"/>
        <v>2295</v>
      </c>
      <c r="T9" s="4">
        <f t="shared" si="2"/>
        <v>2372</v>
      </c>
      <c r="U9" s="4">
        <f t="shared" si="3"/>
        <v>2432</v>
      </c>
    </row>
    <row r="10" spans="2:21" x14ac:dyDescent="0.3">
      <c r="B10" s="4">
        <v>2021</v>
      </c>
      <c r="C10" s="4">
        <v>2471</v>
      </c>
      <c r="D10" s="4">
        <v>2492</v>
      </c>
      <c r="E10" s="4">
        <v>2532</v>
      </c>
      <c r="F10" s="4">
        <v>2565</v>
      </c>
      <c r="G10" s="4">
        <v>2595</v>
      </c>
      <c r="H10" s="4">
        <v>2638</v>
      </c>
      <c r="I10" s="4">
        <v>2675</v>
      </c>
      <c r="J10" s="4">
        <v>2694</v>
      </c>
      <c r="K10" s="4">
        <v>2741</v>
      </c>
      <c r="L10" s="4">
        <v>2772</v>
      </c>
      <c r="M10" s="4">
        <v>2806</v>
      </c>
      <c r="N10" s="4">
        <v>2829</v>
      </c>
      <c r="Q10" s="4">
        <v>2021</v>
      </c>
      <c r="R10" s="4">
        <f t="shared" si="0"/>
        <v>2532</v>
      </c>
      <c r="S10" s="4">
        <f t="shared" si="1"/>
        <v>2638</v>
      </c>
      <c r="T10" s="4">
        <f t="shared" si="2"/>
        <v>2741</v>
      </c>
      <c r="U10" s="4">
        <f t="shared" si="3"/>
        <v>2829</v>
      </c>
    </row>
    <row r="11" spans="2:21" x14ac:dyDescent="0.3">
      <c r="B11" s="4">
        <v>2022</v>
      </c>
      <c r="C11" s="4">
        <v>2850</v>
      </c>
      <c r="D11" s="4">
        <v>2876</v>
      </c>
      <c r="E11" s="4">
        <v>2907</v>
      </c>
      <c r="F11" s="4">
        <v>2929</v>
      </c>
      <c r="G11" s="4">
        <v>2947</v>
      </c>
      <c r="H11" s="4">
        <v>2991</v>
      </c>
      <c r="I11" s="4">
        <v>3003</v>
      </c>
      <c r="J11" s="4">
        <v>3025</v>
      </c>
      <c r="K11" s="4">
        <v>3069</v>
      </c>
      <c r="L11" s="4">
        <v>3082</v>
      </c>
      <c r="M11" s="4">
        <v>3109</v>
      </c>
      <c r="N11" s="4">
        <v>3136</v>
      </c>
      <c r="Q11" s="4">
        <v>2022</v>
      </c>
      <c r="R11" s="4">
        <f t="shared" si="0"/>
        <v>2907</v>
      </c>
      <c r="S11" s="4">
        <f t="shared" si="1"/>
        <v>2991</v>
      </c>
      <c r="T11" s="4">
        <f t="shared" si="2"/>
        <v>3069</v>
      </c>
      <c r="U11" s="4">
        <f t="shared" si="3"/>
        <v>3136</v>
      </c>
    </row>
    <row r="12" spans="2:21" x14ac:dyDescent="0.3">
      <c r="B12" s="4">
        <v>2023</v>
      </c>
      <c r="C12" s="4">
        <v>3161</v>
      </c>
      <c r="D12" s="4">
        <v>3200</v>
      </c>
      <c r="E12" s="4">
        <v>3235</v>
      </c>
      <c r="F12" s="4"/>
      <c r="G12" s="4"/>
      <c r="H12" s="4"/>
      <c r="I12" s="4"/>
      <c r="J12" s="4"/>
      <c r="K12" s="4"/>
      <c r="L12" s="4"/>
      <c r="M12" s="4"/>
      <c r="N12" s="4"/>
      <c r="Q12" s="4">
        <v>2023</v>
      </c>
      <c r="R12" s="4">
        <f t="shared" si="0"/>
        <v>3235</v>
      </c>
      <c r="S12" s="4">
        <f t="shared" si="1"/>
        <v>0</v>
      </c>
      <c r="T12" s="4">
        <f t="shared" si="2"/>
        <v>0</v>
      </c>
      <c r="U12" s="4">
        <f t="shared" si="3"/>
        <v>0</v>
      </c>
    </row>
    <row r="14" spans="2:21" x14ac:dyDescent="0.3">
      <c r="B14" s="2" t="s">
        <v>1</v>
      </c>
      <c r="C14" s="2"/>
      <c r="D14" s="2"/>
      <c r="E14" s="2"/>
      <c r="F14" s="2"/>
    </row>
    <row r="15" spans="2:21" x14ac:dyDescent="0.3">
      <c r="B15" s="3" t="s">
        <v>20</v>
      </c>
    </row>
    <row r="16" spans="2:21" x14ac:dyDescent="0.3">
      <c r="B16" s="4"/>
      <c r="C16" s="4" t="s">
        <v>14</v>
      </c>
      <c r="D16" s="4" t="s">
        <v>15</v>
      </c>
      <c r="E16" s="4" t="s">
        <v>16</v>
      </c>
      <c r="F16" s="4" t="s">
        <v>17</v>
      </c>
    </row>
    <row r="17" spans="2:21" x14ac:dyDescent="0.3">
      <c r="B17" s="4">
        <v>2017</v>
      </c>
      <c r="C17" s="4">
        <f>E6</f>
        <v>1712</v>
      </c>
      <c r="D17" s="4">
        <f>H6</f>
        <v>1753</v>
      </c>
      <c r="E17" s="4">
        <f>K6</f>
        <v>1778</v>
      </c>
      <c r="F17" s="4">
        <f>N6</f>
        <v>1817</v>
      </c>
    </row>
    <row r="18" spans="2:21" x14ac:dyDescent="0.3">
      <c r="B18" s="4">
        <v>2018</v>
      </c>
      <c r="C18" s="4">
        <f>E7</f>
        <v>1863</v>
      </c>
      <c r="D18" s="4">
        <f>H7</f>
        <v>1907</v>
      </c>
      <c r="E18" s="4">
        <f>K7</f>
        <v>1941</v>
      </c>
      <c r="F18" s="4">
        <f>N7</f>
        <v>1978</v>
      </c>
    </row>
    <row r="19" spans="2:21" x14ac:dyDescent="0.3">
      <c r="B19" s="4">
        <v>2019</v>
      </c>
      <c r="C19" s="4">
        <f>E8</f>
        <v>2025</v>
      </c>
      <c r="D19" s="4">
        <f>H8</f>
        <v>2077</v>
      </c>
      <c r="E19" s="4">
        <f>K8</f>
        <v>2120</v>
      </c>
      <c r="F19" s="4">
        <f>N8</f>
        <v>2190</v>
      </c>
    </row>
    <row r="20" spans="2:21" x14ac:dyDescent="0.3">
      <c r="B20" s="4">
        <v>2020</v>
      </c>
      <c r="C20" s="4">
        <f>E9</f>
        <v>2226</v>
      </c>
      <c r="D20" s="4">
        <f>H9</f>
        <v>2295</v>
      </c>
      <c r="E20" s="4">
        <f>K9</f>
        <v>2372</v>
      </c>
      <c r="F20" s="4">
        <f>N9</f>
        <v>2432</v>
      </c>
    </row>
    <row r="21" spans="2:21" x14ac:dyDescent="0.3">
      <c r="B21" s="4">
        <v>2021</v>
      </c>
      <c r="C21" s="4">
        <f>E10</f>
        <v>2532</v>
      </c>
      <c r="D21" s="4">
        <f>H10</f>
        <v>2638</v>
      </c>
      <c r="E21" s="4">
        <f>K10</f>
        <v>2741</v>
      </c>
      <c r="F21" s="4">
        <f>N10</f>
        <v>2829</v>
      </c>
    </row>
    <row r="22" spans="2:21" x14ac:dyDescent="0.3">
      <c r="B22" s="4">
        <v>2022</v>
      </c>
      <c r="C22" s="4">
        <v>2907</v>
      </c>
      <c r="D22" s="4">
        <v>2991</v>
      </c>
      <c r="E22" s="4">
        <v>3069</v>
      </c>
      <c r="F22" s="4">
        <v>3136</v>
      </c>
    </row>
    <row r="23" spans="2:21" x14ac:dyDescent="0.3">
      <c r="B23" s="4">
        <v>2023</v>
      </c>
      <c r="C23" s="4">
        <v>3235</v>
      </c>
      <c r="D23" s="4"/>
      <c r="E23" s="4"/>
      <c r="F23" s="4"/>
    </row>
    <row r="27" spans="2:21" x14ac:dyDescent="0.3">
      <c r="B27" s="2" t="s">
        <v>18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Q27" s="2" t="s">
        <v>18</v>
      </c>
      <c r="R27" s="2"/>
      <c r="S27" s="2"/>
      <c r="T27" s="2"/>
      <c r="U27" s="2"/>
    </row>
    <row r="28" spans="2:21" x14ac:dyDescent="0.3">
      <c r="B28" s="3" t="s">
        <v>19</v>
      </c>
      <c r="Q28" s="3" t="s">
        <v>20</v>
      </c>
    </row>
    <row r="29" spans="2:21" x14ac:dyDescent="0.3">
      <c r="B29" s="4"/>
      <c r="C29" s="4" t="s">
        <v>2</v>
      </c>
      <c r="D29" s="4" t="s">
        <v>3</v>
      </c>
      <c r="E29" s="4" t="s">
        <v>4</v>
      </c>
      <c r="F29" s="4" t="s">
        <v>5</v>
      </c>
      <c r="G29" s="4" t="s">
        <v>6</v>
      </c>
      <c r="H29" s="4" t="s">
        <v>7</v>
      </c>
      <c r="I29" s="4" t="s">
        <v>8</v>
      </c>
      <c r="J29" s="4" t="s">
        <v>9</v>
      </c>
      <c r="K29" s="4" t="s">
        <v>10</v>
      </c>
      <c r="L29" s="4" t="s">
        <v>11</v>
      </c>
      <c r="M29" s="4" t="s">
        <v>12</v>
      </c>
      <c r="N29" s="4" t="s">
        <v>13</v>
      </c>
      <c r="Q29" s="4"/>
      <c r="R29" s="4" t="s">
        <v>14</v>
      </c>
      <c r="S29" s="4" t="s">
        <v>15</v>
      </c>
      <c r="T29" s="4" t="s">
        <v>16</v>
      </c>
      <c r="U29" s="4" t="s">
        <v>17</v>
      </c>
    </row>
    <row r="30" spans="2:21" x14ac:dyDescent="0.3">
      <c r="B30" s="4">
        <v>2017</v>
      </c>
      <c r="C30" s="4"/>
      <c r="D30" s="4">
        <f>D6-C6</f>
        <v>8</v>
      </c>
      <c r="E30" s="4">
        <f t="shared" ref="E30:N30" si="4">E6-D6</f>
        <v>14</v>
      </c>
      <c r="F30" s="4">
        <f t="shared" si="4"/>
        <v>10</v>
      </c>
      <c r="G30" s="4">
        <f t="shared" si="4"/>
        <v>11</v>
      </c>
      <c r="H30" s="4">
        <f t="shared" si="4"/>
        <v>20</v>
      </c>
      <c r="I30" s="4">
        <f t="shared" si="4"/>
        <v>13</v>
      </c>
      <c r="J30" s="4">
        <f t="shared" si="4"/>
        <v>9</v>
      </c>
      <c r="K30" s="4">
        <f t="shared" si="4"/>
        <v>3</v>
      </c>
      <c r="L30" s="4">
        <f t="shared" si="4"/>
        <v>15</v>
      </c>
      <c r="M30" s="4">
        <f t="shared" si="4"/>
        <v>11</v>
      </c>
      <c r="N30" s="4">
        <f t="shared" si="4"/>
        <v>13</v>
      </c>
      <c r="Q30" s="4">
        <v>2017</v>
      </c>
      <c r="R30" s="4"/>
      <c r="S30" s="4"/>
      <c r="T30" s="4"/>
      <c r="U30" s="4"/>
    </row>
    <row r="31" spans="2:21" x14ac:dyDescent="0.3">
      <c r="B31" s="4">
        <v>2018</v>
      </c>
      <c r="C31" s="4">
        <f t="shared" ref="C31:C36" si="5">C7-N6</f>
        <v>23</v>
      </c>
      <c r="D31" s="4">
        <f>D7-C7</f>
        <v>8</v>
      </c>
      <c r="E31" s="4">
        <f t="shared" ref="E31:N31" si="6">E7-D7</f>
        <v>15</v>
      </c>
      <c r="F31" s="4">
        <f t="shared" si="6"/>
        <v>22</v>
      </c>
      <c r="G31" s="4">
        <f t="shared" si="6"/>
        <v>13</v>
      </c>
      <c r="H31" s="4">
        <f t="shared" si="6"/>
        <v>9</v>
      </c>
      <c r="I31" s="4">
        <f t="shared" si="6"/>
        <v>8</v>
      </c>
      <c r="J31" s="4">
        <f t="shared" si="6"/>
        <v>6</v>
      </c>
      <c r="K31" s="4">
        <f t="shared" si="6"/>
        <v>20</v>
      </c>
      <c r="L31" s="4">
        <f t="shared" si="6"/>
        <v>16</v>
      </c>
      <c r="M31" s="4">
        <f t="shared" si="6"/>
        <v>9</v>
      </c>
      <c r="N31" s="4">
        <f t="shared" si="6"/>
        <v>12</v>
      </c>
      <c r="Q31" s="4">
        <v>2018</v>
      </c>
      <c r="R31" s="4">
        <f>C31+D31+E31</f>
        <v>46</v>
      </c>
      <c r="S31" s="4">
        <f>H31+G31+F31</f>
        <v>44</v>
      </c>
      <c r="T31" s="4">
        <f>I31+K31+J31</f>
        <v>34</v>
      </c>
      <c r="U31" s="4">
        <f>N31+L31+M31</f>
        <v>37</v>
      </c>
    </row>
    <row r="32" spans="2:21" x14ac:dyDescent="0.3">
      <c r="B32" s="4">
        <v>2019</v>
      </c>
      <c r="C32" s="4">
        <f t="shared" si="5"/>
        <v>17</v>
      </c>
      <c r="D32" s="4">
        <f t="shared" ref="D32:N32" si="7">D8-C8</f>
        <v>12</v>
      </c>
      <c r="E32" s="4">
        <f t="shared" si="7"/>
        <v>18</v>
      </c>
      <c r="F32" s="4">
        <f t="shared" si="7"/>
        <v>16</v>
      </c>
      <c r="G32" s="4">
        <f t="shared" si="7"/>
        <v>14</v>
      </c>
      <c r="H32" s="4">
        <f t="shared" si="7"/>
        <v>22</v>
      </c>
      <c r="I32" s="4">
        <f t="shared" si="7"/>
        <v>11</v>
      </c>
      <c r="J32" s="4">
        <f t="shared" si="7"/>
        <v>7</v>
      </c>
      <c r="K32" s="4">
        <f t="shared" si="7"/>
        <v>25</v>
      </c>
      <c r="L32" s="4">
        <f t="shared" si="7"/>
        <v>18</v>
      </c>
      <c r="M32" s="4">
        <f t="shared" si="7"/>
        <v>18</v>
      </c>
      <c r="N32" s="4">
        <f t="shared" si="7"/>
        <v>34</v>
      </c>
      <c r="Q32" s="4">
        <v>2019</v>
      </c>
      <c r="R32" s="4">
        <f t="shared" ref="R32:R36" si="8">C32+D32+E32</f>
        <v>47</v>
      </c>
      <c r="S32" s="4">
        <f t="shared" ref="S32:S36" si="9">H32+G32+F32</f>
        <v>52</v>
      </c>
      <c r="T32" s="4">
        <f t="shared" ref="T32:T36" si="10">I32+K32+J32</f>
        <v>43</v>
      </c>
      <c r="U32" s="4">
        <f t="shared" ref="U32:U36" si="11">N32+L32+M32</f>
        <v>70</v>
      </c>
    </row>
    <row r="33" spans="2:21" x14ac:dyDescent="0.3">
      <c r="B33" s="4">
        <v>2020</v>
      </c>
      <c r="C33" s="4">
        <f t="shared" si="5"/>
        <v>-15</v>
      </c>
      <c r="D33" s="4">
        <f t="shared" ref="D33:N33" si="12">D9-C9</f>
        <v>35</v>
      </c>
      <c r="E33" s="4">
        <f t="shared" si="12"/>
        <v>16</v>
      </c>
      <c r="F33" s="4">
        <f t="shared" si="12"/>
        <v>1</v>
      </c>
      <c r="G33" s="4">
        <f t="shared" si="12"/>
        <v>17</v>
      </c>
      <c r="H33" s="4">
        <f t="shared" si="12"/>
        <v>51</v>
      </c>
      <c r="I33" s="4">
        <f t="shared" si="12"/>
        <v>49</v>
      </c>
      <c r="J33" s="4">
        <f t="shared" si="12"/>
        <v>12</v>
      </c>
      <c r="K33" s="4">
        <f t="shared" si="12"/>
        <v>16</v>
      </c>
      <c r="L33" s="4">
        <f t="shared" si="12"/>
        <v>25</v>
      </c>
      <c r="M33" s="4">
        <f t="shared" si="12"/>
        <v>19</v>
      </c>
      <c r="N33" s="4">
        <f t="shared" si="12"/>
        <v>16</v>
      </c>
      <c r="Q33" s="4">
        <v>2020</v>
      </c>
      <c r="R33" s="4">
        <f t="shared" si="8"/>
        <v>36</v>
      </c>
      <c r="S33" s="4">
        <f t="shared" si="9"/>
        <v>69</v>
      </c>
      <c r="T33" s="4">
        <f t="shared" si="10"/>
        <v>77</v>
      </c>
      <c r="U33" s="4">
        <f t="shared" si="11"/>
        <v>60</v>
      </c>
    </row>
    <row r="34" spans="2:21" x14ac:dyDescent="0.3">
      <c r="B34" s="4">
        <v>2021</v>
      </c>
      <c r="C34" s="4">
        <f t="shared" si="5"/>
        <v>39</v>
      </c>
      <c r="D34" s="4">
        <f t="shared" ref="D34:N35" si="13">D10-C10</f>
        <v>21</v>
      </c>
      <c r="E34" s="4">
        <f t="shared" si="13"/>
        <v>40</v>
      </c>
      <c r="F34" s="4">
        <f t="shared" si="13"/>
        <v>33</v>
      </c>
      <c r="G34" s="4">
        <f t="shared" si="13"/>
        <v>30</v>
      </c>
      <c r="H34" s="4">
        <f t="shared" si="13"/>
        <v>43</v>
      </c>
      <c r="I34" s="4">
        <f t="shared" si="13"/>
        <v>37</v>
      </c>
      <c r="J34" s="4">
        <f t="shared" si="13"/>
        <v>19</v>
      </c>
      <c r="K34" s="4">
        <f t="shared" si="13"/>
        <v>47</v>
      </c>
      <c r="L34" s="4">
        <f t="shared" si="13"/>
        <v>31</v>
      </c>
      <c r="M34" s="4">
        <f t="shared" si="13"/>
        <v>34</v>
      </c>
      <c r="N34" s="4">
        <f t="shared" si="13"/>
        <v>23</v>
      </c>
      <c r="Q34" s="4">
        <v>2021</v>
      </c>
      <c r="R34" s="4">
        <f t="shared" si="8"/>
        <v>100</v>
      </c>
      <c r="S34" s="4">
        <f t="shared" si="9"/>
        <v>106</v>
      </c>
      <c r="T34" s="4">
        <f t="shared" si="10"/>
        <v>103</v>
      </c>
      <c r="U34" s="4">
        <f t="shared" si="11"/>
        <v>88</v>
      </c>
    </row>
    <row r="35" spans="2:21" x14ac:dyDescent="0.3">
      <c r="B35" s="4">
        <v>2022</v>
      </c>
      <c r="C35" s="4">
        <f t="shared" si="5"/>
        <v>21</v>
      </c>
      <c r="D35" s="4">
        <f t="shared" ref="D35" si="14">D11-C11</f>
        <v>26</v>
      </c>
      <c r="E35" s="4">
        <f t="shared" si="13"/>
        <v>31</v>
      </c>
      <c r="F35" s="4">
        <f t="shared" si="13"/>
        <v>22</v>
      </c>
      <c r="G35" s="4">
        <f t="shared" si="13"/>
        <v>18</v>
      </c>
      <c r="H35" s="4">
        <f t="shared" si="13"/>
        <v>44</v>
      </c>
      <c r="I35" s="4">
        <f t="shared" si="13"/>
        <v>12</v>
      </c>
      <c r="J35" s="4">
        <f t="shared" si="13"/>
        <v>22</v>
      </c>
      <c r="K35" s="4">
        <f t="shared" si="13"/>
        <v>44</v>
      </c>
      <c r="L35" s="4">
        <f t="shared" ref="L35" si="15">L11-K11</f>
        <v>13</v>
      </c>
      <c r="M35" s="4">
        <f t="shared" ref="M35" si="16">M11-L11</f>
        <v>27</v>
      </c>
      <c r="N35" s="4">
        <f>N11-M11</f>
        <v>27</v>
      </c>
      <c r="Q35" s="4">
        <v>2022</v>
      </c>
      <c r="R35" s="4">
        <f t="shared" si="8"/>
        <v>78</v>
      </c>
      <c r="S35" s="4">
        <f t="shared" si="9"/>
        <v>84</v>
      </c>
      <c r="T35" s="4">
        <f t="shared" si="10"/>
        <v>78</v>
      </c>
      <c r="U35" s="4">
        <f t="shared" si="11"/>
        <v>67</v>
      </c>
    </row>
    <row r="36" spans="2:21" x14ac:dyDescent="0.3">
      <c r="B36" s="4">
        <v>2023</v>
      </c>
      <c r="C36" s="4">
        <f t="shared" si="5"/>
        <v>25</v>
      </c>
      <c r="D36" s="4">
        <f t="shared" ref="D36" si="17">D12-C12</f>
        <v>39</v>
      </c>
      <c r="E36" s="4">
        <f t="shared" ref="E36" si="18">E12-D12</f>
        <v>35</v>
      </c>
      <c r="F36" s="4">
        <f t="shared" ref="F36" si="19">F12-E12</f>
        <v>-3235</v>
      </c>
      <c r="G36" s="4">
        <f t="shared" ref="G36" si="20">G12-F12</f>
        <v>0</v>
      </c>
      <c r="H36" s="4">
        <f t="shared" ref="H36" si="21">H12-G12</f>
        <v>0</v>
      </c>
      <c r="I36" s="4">
        <f t="shared" ref="I36" si="22">I12-H12</f>
        <v>0</v>
      </c>
      <c r="J36" s="4">
        <f t="shared" ref="J36" si="23">J12-I12</f>
        <v>0</v>
      </c>
      <c r="K36" s="4">
        <f t="shared" ref="K36" si="24">K12-J12</f>
        <v>0</v>
      </c>
      <c r="L36" s="4">
        <f t="shared" ref="L36" si="25">L12-K12</f>
        <v>0</v>
      </c>
      <c r="M36" s="4">
        <f t="shared" ref="M36" si="26">M12-L12</f>
        <v>0</v>
      </c>
      <c r="N36" s="4">
        <f>N12-M12</f>
        <v>0</v>
      </c>
      <c r="Q36" s="4">
        <v>2023</v>
      </c>
      <c r="R36" s="4">
        <f t="shared" si="8"/>
        <v>99</v>
      </c>
      <c r="S36" s="4">
        <f t="shared" si="9"/>
        <v>-3235</v>
      </c>
      <c r="T36" s="4">
        <f t="shared" si="10"/>
        <v>0</v>
      </c>
      <c r="U36" s="4">
        <f t="shared" si="11"/>
        <v>0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251"/>
  <sheetViews>
    <sheetView tabSelected="1" zoomScale="85" zoomScaleNormal="85" workbookViewId="0">
      <selection activeCell="L1" sqref="L1"/>
    </sheetView>
  </sheetViews>
  <sheetFormatPr baseColWidth="10" defaultRowHeight="14.4" x14ac:dyDescent="0.3"/>
  <sheetData>
    <row r="1" spans="1:21" x14ac:dyDescent="0.3">
      <c r="A1" t="str">
        <f>"Numï¿?ro FINESS"</f>
        <v>Numï¿?ro FINESS</v>
      </c>
      <c r="B1" t="str">
        <f>"SIRET"</f>
        <v>SIRET</v>
      </c>
      <c r="C1" t="str">
        <f>"APE"</f>
        <v>APE</v>
      </c>
      <c r="D1" t="str">
        <f>"Raison sociale"</f>
        <v>Raison sociale</v>
      </c>
      <c r="E1" t="str">
        <f>"Complï¿?ment distribution"</f>
        <v>Complï¿?ment distribution</v>
      </c>
      <c r="F1" t="str">
        <f>"Adresse"</f>
        <v>Adresse</v>
      </c>
      <c r="G1" t="str">
        <f>"Lieudit/BP"</f>
        <v>Lieudit/BP</v>
      </c>
      <c r="H1" t="str">
        <f>"Code postal"</f>
        <v>Code postal</v>
      </c>
      <c r="I1" t="str">
        <f>"Libelle routage"</f>
        <v>Libelle routage</v>
      </c>
      <c r="J1" t="str">
        <f>"Tel"</f>
        <v>Tel</v>
      </c>
      <c r="K1" t="str">
        <f>"Fax"</f>
        <v>Fax</v>
      </c>
      <c r="L1" t="s">
        <v>0</v>
      </c>
      <c r="M1" t="str">
        <f>"Code categorie"</f>
        <v>Code categorie</v>
      </c>
      <c r="N1" t="str">
        <f>"Lib categorie"</f>
        <v>Lib categorie</v>
      </c>
      <c r="O1" t="str">
        <f>"Code statut"</f>
        <v>Code statut</v>
      </c>
      <c r="P1" t="str">
        <f>"Lib statut"</f>
        <v>Lib statut</v>
      </c>
      <c r="Q1" t="str">
        <f>"Code tarif"</f>
        <v>Code tarif</v>
      </c>
      <c r="R1" t="str">
        <f>"Lib tarif"</f>
        <v>Lib tarif</v>
      </c>
      <c r="S1" t="str">
        <f>"Code PSPH"</f>
        <v>Code PSPH</v>
      </c>
      <c r="T1" t="str">
        <f>"Lib PSPH"</f>
        <v>Lib PSPH</v>
      </c>
      <c r="U1" t="str">
        <f>"FINESS juridique"</f>
        <v>FINESS juridique</v>
      </c>
    </row>
    <row r="2" spans="1:21" x14ac:dyDescent="0.3">
      <c r="A2" t="str">
        <f>"350056065"</f>
        <v>350056065</v>
      </c>
      <c r="B2" t="str">
        <f>"911 381 622 00016"</f>
        <v>911 381 622 00016</v>
      </c>
      <c r="D2" t="str">
        <f>"CDS LONGS CHAMPS"</f>
        <v>CDS LONGS CHAMPS</v>
      </c>
      <c r="E2" t="str">
        <f>"CENTRE CIAL DES LONGS CHAMPS"</f>
        <v>CENTRE CIAL DES LONGS CHAMPS</v>
      </c>
      <c r="F2" t="str">
        <f>""</f>
        <v/>
      </c>
      <c r="H2" t="str">
        <f>"35700"</f>
        <v>35700</v>
      </c>
      <c r="I2" t="str">
        <f>"RENNES"</f>
        <v>RENNES</v>
      </c>
      <c r="J2" t="str">
        <f>"06 68 96 28 26 "</f>
        <v xml:space="preserve">06 68 96 28 26 </v>
      </c>
      <c r="L2" s="1">
        <v>45077</v>
      </c>
      <c r="M2" t="str">
        <f t="shared" ref="M2:M65" si="0">"124"</f>
        <v>124</v>
      </c>
      <c r="N2" t="str">
        <f t="shared" ref="N2:N65" si="1">"Centre de Santé"</f>
        <v>Centre de Santé</v>
      </c>
      <c r="O2" t="str">
        <f>"61"</f>
        <v>61</v>
      </c>
      <c r="P2" t="str">
        <f>"Association Loi 1901 Reconnue d'Utilité Publique"</f>
        <v>Association Loi 1901 Reconnue d'Utilité Publique</v>
      </c>
      <c r="Q2" t="str">
        <f t="shared" ref="Q2:Q15" si="2">"36"</f>
        <v>36</v>
      </c>
      <c r="R2" t="str">
        <f t="shared" ref="R2:R15" si="3">"Tarifs conventionnels assurance maladie"</f>
        <v>Tarifs conventionnels assurance maladie</v>
      </c>
      <c r="U2" t="str">
        <f>"130052863"</f>
        <v>130052863</v>
      </c>
    </row>
    <row r="3" spans="1:21" x14ac:dyDescent="0.3">
      <c r="A3" t="str">
        <f>"340030543"</f>
        <v>340030543</v>
      </c>
      <c r="B3" t="str">
        <f>"914 936 281 00023"</f>
        <v>914 936 281 00023</v>
      </c>
      <c r="D3" t="str">
        <f>"CENTRE DE SANTE DENTAIRE ORALYS"</f>
        <v>CENTRE DE SANTE DENTAIRE ORALYS</v>
      </c>
      <c r="E3" t="str">
        <f>"CENTRE COMMERCIAL LA PAILLADE"</f>
        <v>CENTRE COMMERCIAL LA PAILLADE</v>
      </c>
      <c r="F3" t="str">
        <f>"105 AVENUE DU LAURAGAIS"</f>
        <v>105 AVENUE DU LAURAGAIS</v>
      </c>
      <c r="H3" t="str">
        <f>"34080"</f>
        <v>34080</v>
      </c>
      <c r="I3" t="str">
        <f>"MONTPELLIER"</f>
        <v>MONTPELLIER</v>
      </c>
      <c r="J3" t="str">
        <f>"04 99 74 04 38 "</f>
        <v xml:space="preserve">04 99 74 04 38 </v>
      </c>
      <c r="L3" s="1">
        <v>45076</v>
      </c>
      <c r="M3" t="str">
        <f t="shared" si="0"/>
        <v>124</v>
      </c>
      <c r="N3" t="str">
        <f t="shared" si="1"/>
        <v>Centre de Santé</v>
      </c>
      <c r="O3" t="str">
        <f t="shared" ref="O3:O11" si="4">"60"</f>
        <v>60</v>
      </c>
      <c r="P3" t="str">
        <f t="shared" ref="P3:P11" si="5">"Association Loi 1901 non Reconnue d'Utilité Publique"</f>
        <v>Association Loi 1901 non Reconnue d'Utilité Publique</v>
      </c>
      <c r="Q3" t="str">
        <f t="shared" si="2"/>
        <v>36</v>
      </c>
      <c r="R3" t="str">
        <f t="shared" si="3"/>
        <v>Tarifs conventionnels assurance maladie</v>
      </c>
      <c r="U3" t="str">
        <f>"340030535"</f>
        <v>340030535</v>
      </c>
    </row>
    <row r="4" spans="1:21" x14ac:dyDescent="0.3">
      <c r="A4" t="str">
        <f>"130054778"</f>
        <v>130054778</v>
      </c>
      <c r="B4" t="str">
        <f>"901 322 867 00010"</f>
        <v>901 322 867 00010</v>
      </c>
      <c r="D4" t="str">
        <f>"CENTRE DE SANTE PLACE DE LA PREFECTURE"</f>
        <v>CENTRE DE SANTE PLACE DE LA PREFECTURE</v>
      </c>
      <c r="F4" t="str">
        <f>"7 PLACE FELIX BARET"</f>
        <v>7 PLACE FELIX BARET</v>
      </c>
      <c r="H4" t="str">
        <f>"13006"</f>
        <v>13006</v>
      </c>
      <c r="I4" t="str">
        <f>"MARSEILLE"</f>
        <v>MARSEILLE</v>
      </c>
      <c r="J4" t="str">
        <f>"01 56 62 00 00 "</f>
        <v xml:space="preserve">01 56 62 00 00 </v>
      </c>
      <c r="L4" s="1">
        <v>45068</v>
      </c>
      <c r="M4" t="str">
        <f t="shared" si="0"/>
        <v>124</v>
      </c>
      <c r="N4" t="str">
        <f t="shared" si="1"/>
        <v>Centre de Santé</v>
      </c>
      <c r="O4" t="str">
        <f t="shared" si="4"/>
        <v>60</v>
      </c>
      <c r="P4" t="str">
        <f t="shared" si="5"/>
        <v>Association Loi 1901 non Reconnue d'Utilité Publique</v>
      </c>
      <c r="Q4" t="str">
        <f t="shared" si="2"/>
        <v>36</v>
      </c>
      <c r="R4" t="str">
        <f t="shared" si="3"/>
        <v>Tarifs conventionnels assurance maladie</v>
      </c>
      <c r="U4" t="str">
        <f>"130054760"</f>
        <v>130054760</v>
      </c>
    </row>
    <row r="5" spans="1:21" x14ac:dyDescent="0.3">
      <c r="A5" t="str">
        <f>"760039693"</f>
        <v>760039693</v>
      </c>
      <c r="B5" t="str">
        <f>"900 491 663 00010"</f>
        <v>900 491 663 00010</v>
      </c>
      <c r="D5" t="str">
        <f>"CENTRE DENTAIRE DE ROUEN"</f>
        <v>CENTRE DENTAIRE DE ROUEN</v>
      </c>
      <c r="F5" t="str">
        <f>"24 RUE JEANNE D'ARC"</f>
        <v>24 RUE JEANNE D'ARC</v>
      </c>
      <c r="H5" t="str">
        <f>"76100"</f>
        <v>76100</v>
      </c>
      <c r="I5" t="str">
        <f>"ROUEN"</f>
        <v>ROUEN</v>
      </c>
      <c r="J5" t="str">
        <f>"02 79 16 55 55 "</f>
        <v xml:space="preserve">02 79 16 55 55 </v>
      </c>
      <c r="L5" s="1">
        <v>45063</v>
      </c>
      <c r="M5" t="str">
        <f t="shared" si="0"/>
        <v>124</v>
      </c>
      <c r="N5" t="str">
        <f t="shared" si="1"/>
        <v>Centre de Santé</v>
      </c>
      <c r="O5" t="str">
        <f t="shared" si="4"/>
        <v>60</v>
      </c>
      <c r="P5" t="str">
        <f t="shared" si="5"/>
        <v>Association Loi 1901 non Reconnue d'Utilité Publique</v>
      </c>
      <c r="Q5" t="str">
        <f t="shared" si="2"/>
        <v>36</v>
      </c>
      <c r="R5" t="str">
        <f t="shared" si="3"/>
        <v>Tarifs conventionnels assurance maladie</v>
      </c>
      <c r="U5" t="str">
        <f>"760039685"</f>
        <v>760039685</v>
      </c>
    </row>
    <row r="6" spans="1:21" x14ac:dyDescent="0.3">
      <c r="A6" t="str">
        <f>"270030588"</f>
        <v>270030588</v>
      </c>
      <c r="B6" t="str">
        <f>"922 691 670 00017"</f>
        <v>922 691 670 00017</v>
      </c>
      <c r="D6" t="str">
        <f>"CENTRE OPHTALMOLOGIQUE DE MENILLES"</f>
        <v>CENTRE OPHTALMOLOGIQUE DE MENILLES</v>
      </c>
      <c r="F6" t="str">
        <f>"33 RUE DE CROISY"</f>
        <v>33 RUE DE CROISY</v>
      </c>
      <c r="H6" t="str">
        <f>"27120"</f>
        <v>27120</v>
      </c>
      <c r="I6" t="str">
        <f>"MENILLES"</f>
        <v>MENILLES</v>
      </c>
      <c r="L6" s="1">
        <v>45061</v>
      </c>
      <c r="M6" t="str">
        <f t="shared" si="0"/>
        <v>124</v>
      </c>
      <c r="N6" t="str">
        <f t="shared" si="1"/>
        <v>Centre de Santé</v>
      </c>
      <c r="O6" t="str">
        <f t="shared" si="4"/>
        <v>60</v>
      </c>
      <c r="P6" t="str">
        <f t="shared" si="5"/>
        <v>Association Loi 1901 non Reconnue d'Utilité Publique</v>
      </c>
      <c r="Q6" t="str">
        <f t="shared" si="2"/>
        <v>36</v>
      </c>
      <c r="R6" t="str">
        <f t="shared" si="3"/>
        <v>Tarifs conventionnels assurance maladie</v>
      </c>
      <c r="U6" t="str">
        <f>"270030570"</f>
        <v>270030570</v>
      </c>
    </row>
    <row r="7" spans="1:21" x14ac:dyDescent="0.3">
      <c r="A7" t="str">
        <f>"910026533"</f>
        <v>910026533</v>
      </c>
      <c r="B7" t="str">
        <f>"914 112 610 00011"</f>
        <v>914 112 610 00011</v>
      </c>
      <c r="D7" t="str">
        <f>"CDS DENTAIRE DENTAPTE ARPAJON"</f>
        <v>CDS DENTAIRE DENTAPTE ARPAJON</v>
      </c>
      <c r="F7" t="str">
        <f>"11 BOULEVARD ABEL CORNATON"</f>
        <v>11 BOULEVARD ABEL CORNATON</v>
      </c>
      <c r="H7" t="str">
        <f>"91290"</f>
        <v>91290</v>
      </c>
      <c r="I7" t="str">
        <f>"ARPAJON"</f>
        <v>ARPAJON</v>
      </c>
      <c r="J7" t="str">
        <f>"06 72 77 29 92 "</f>
        <v xml:space="preserve">06 72 77 29 92 </v>
      </c>
      <c r="L7" s="1">
        <v>45061</v>
      </c>
      <c r="M7" t="str">
        <f t="shared" si="0"/>
        <v>124</v>
      </c>
      <c r="N7" t="str">
        <f t="shared" si="1"/>
        <v>Centre de Santé</v>
      </c>
      <c r="O7" t="str">
        <f t="shared" si="4"/>
        <v>60</v>
      </c>
      <c r="P7" t="str">
        <f t="shared" si="5"/>
        <v>Association Loi 1901 non Reconnue d'Utilité Publique</v>
      </c>
      <c r="Q7" t="str">
        <f t="shared" si="2"/>
        <v>36</v>
      </c>
      <c r="R7" t="str">
        <f t="shared" si="3"/>
        <v>Tarifs conventionnels assurance maladie</v>
      </c>
      <c r="U7" t="str">
        <f>"910026525"</f>
        <v>910026525</v>
      </c>
    </row>
    <row r="8" spans="1:21" x14ac:dyDescent="0.3">
      <c r="A8" t="str">
        <f>"920040334"</f>
        <v>920040334</v>
      </c>
      <c r="B8" t="str">
        <f>"922 871 637 00018"</f>
        <v>922 871 637 00018</v>
      </c>
      <c r="D8" t="str">
        <f>"CDS CENTRE MEDICAL MONTROUGE"</f>
        <v>CDS CENTRE MEDICAL MONTROUGE</v>
      </c>
      <c r="F8" t="str">
        <f>"199 AVENUE PIERRE BROSSOLETTE"</f>
        <v>199 AVENUE PIERRE BROSSOLETTE</v>
      </c>
      <c r="H8" t="str">
        <f>"92120"</f>
        <v>92120</v>
      </c>
      <c r="I8" t="str">
        <f>"MONTROUGE"</f>
        <v>MONTROUGE</v>
      </c>
      <c r="J8" t="str">
        <f>"01 84 19 07 80 "</f>
        <v xml:space="preserve">01 84 19 07 80 </v>
      </c>
      <c r="L8" s="1">
        <v>45058</v>
      </c>
      <c r="M8" t="str">
        <f t="shared" si="0"/>
        <v>124</v>
      </c>
      <c r="N8" t="str">
        <f t="shared" si="1"/>
        <v>Centre de Santé</v>
      </c>
      <c r="O8" t="str">
        <f t="shared" si="4"/>
        <v>60</v>
      </c>
      <c r="P8" t="str">
        <f t="shared" si="5"/>
        <v>Association Loi 1901 non Reconnue d'Utilité Publique</v>
      </c>
      <c r="Q8" t="str">
        <f t="shared" si="2"/>
        <v>36</v>
      </c>
      <c r="R8" t="str">
        <f t="shared" si="3"/>
        <v>Tarifs conventionnels assurance maladie</v>
      </c>
      <c r="U8" t="str">
        <f>"920040326"</f>
        <v>920040326</v>
      </c>
    </row>
    <row r="9" spans="1:21" x14ac:dyDescent="0.3">
      <c r="A9" t="str">
        <f>"440060911"</f>
        <v>440060911</v>
      </c>
      <c r="D9" t="str">
        <f>"ASSOCIATION INFIRMIERE ET SANTE"</f>
        <v>ASSOCIATION INFIRMIERE ET SANTE</v>
      </c>
      <c r="F9" t="str">
        <f>"10 RUE LAENNEC"</f>
        <v>10 RUE LAENNEC</v>
      </c>
      <c r="H9" t="str">
        <f>"44720"</f>
        <v>44720</v>
      </c>
      <c r="I9" t="str">
        <f>"ST JOACHIM"</f>
        <v>ST JOACHIM</v>
      </c>
      <c r="L9" s="1">
        <v>45056</v>
      </c>
      <c r="M9" t="str">
        <f t="shared" si="0"/>
        <v>124</v>
      </c>
      <c r="N9" t="str">
        <f t="shared" si="1"/>
        <v>Centre de Santé</v>
      </c>
      <c r="O9" t="str">
        <f t="shared" si="4"/>
        <v>60</v>
      </c>
      <c r="P9" t="str">
        <f t="shared" si="5"/>
        <v>Association Loi 1901 non Reconnue d'Utilité Publique</v>
      </c>
      <c r="Q9" t="str">
        <f t="shared" si="2"/>
        <v>36</v>
      </c>
      <c r="R9" t="str">
        <f t="shared" si="3"/>
        <v>Tarifs conventionnels assurance maladie</v>
      </c>
      <c r="U9" t="str">
        <f>"440060903"</f>
        <v>440060903</v>
      </c>
    </row>
    <row r="10" spans="1:21" x14ac:dyDescent="0.3">
      <c r="A10" t="str">
        <f>"720023159"</f>
        <v>720023159</v>
      </c>
      <c r="D10" t="str">
        <f>"CDS DENTAL LE MANS"</f>
        <v>CDS DENTAL LE MANS</v>
      </c>
      <c r="F10" t="str">
        <f>"4 AVENUE JEAN JAURÈS"</f>
        <v>4 AVENUE JEAN JAURÈS</v>
      </c>
      <c r="H10" t="str">
        <f>"72100"</f>
        <v>72100</v>
      </c>
      <c r="I10" t="str">
        <f>"LE MANS"</f>
        <v>LE MANS</v>
      </c>
      <c r="L10" s="1">
        <v>45056</v>
      </c>
      <c r="M10" t="str">
        <f t="shared" si="0"/>
        <v>124</v>
      </c>
      <c r="N10" t="str">
        <f t="shared" si="1"/>
        <v>Centre de Santé</v>
      </c>
      <c r="O10" t="str">
        <f t="shared" si="4"/>
        <v>60</v>
      </c>
      <c r="P10" t="str">
        <f t="shared" si="5"/>
        <v>Association Loi 1901 non Reconnue d'Utilité Publique</v>
      </c>
      <c r="Q10" t="str">
        <f t="shared" si="2"/>
        <v>36</v>
      </c>
      <c r="R10" t="str">
        <f t="shared" si="3"/>
        <v>Tarifs conventionnels assurance maladie</v>
      </c>
      <c r="U10" t="str">
        <f>"720023332"</f>
        <v>720023332</v>
      </c>
    </row>
    <row r="11" spans="1:21" x14ac:dyDescent="0.3">
      <c r="A11" t="str">
        <f>"930033147"</f>
        <v>930033147</v>
      </c>
      <c r="B11" t="str">
        <f>"913 932 687 00019"</f>
        <v>913 932 687 00019</v>
      </c>
      <c r="D11" t="str">
        <f>"CDS MEDIABECLAIR"</f>
        <v>CDS MEDIABECLAIR</v>
      </c>
      <c r="E11" t="str">
        <f>"44-46"</f>
        <v>44-46</v>
      </c>
      <c r="F11" t="str">
        <f>"44 RUE SADI CARNOT"</f>
        <v>44 RUE SADI CARNOT</v>
      </c>
      <c r="H11" t="str">
        <f>"93300"</f>
        <v>93300</v>
      </c>
      <c r="I11" t="str">
        <f>"AUBERVILLIERS"</f>
        <v>AUBERVILLIERS</v>
      </c>
      <c r="J11" t="str">
        <f>"01 88 75 04 97 "</f>
        <v xml:space="preserve">01 88 75 04 97 </v>
      </c>
      <c r="L11" s="1">
        <v>45055</v>
      </c>
      <c r="M11" t="str">
        <f t="shared" si="0"/>
        <v>124</v>
      </c>
      <c r="N11" t="str">
        <f t="shared" si="1"/>
        <v>Centre de Santé</v>
      </c>
      <c r="O11" t="str">
        <f t="shared" si="4"/>
        <v>60</v>
      </c>
      <c r="P11" t="str">
        <f t="shared" si="5"/>
        <v>Association Loi 1901 non Reconnue d'Utilité Publique</v>
      </c>
      <c r="Q11" t="str">
        <f t="shared" si="2"/>
        <v>36</v>
      </c>
      <c r="R11" t="str">
        <f t="shared" si="3"/>
        <v>Tarifs conventionnels assurance maladie</v>
      </c>
      <c r="U11" t="str">
        <f>"750071540"</f>
        <v>750071540</v>
      </c>
    </row>
    <row r="12" spans="1:21" x14ac:dyDescent="0.3">
      <c r="A12" t="str">
        <f>"600017255"</f>
        <v>600017255</v>
      </c>
      <c r="B12" t="str">
        <f>"913 855 664 00011"</f>
        <v>913 855 664 00011</v>
      </c>
      <c r="D12" t="str">
        <f>"CSMD"</f>
        <v>CSMD</v>
      </c>
      <c r="F12" t="str">
        <f>"101 RUE DES BATELIERS"</f>
        <v>101 RUE DES BATELIERS</v>
      </c>
      <c r="H12" t="str">
        <f>"60280"</f>
        <v>60280</v>
      </c>
      <c r="I12" t="str">
        <f>"MARGNY LES COMPIEGNE"</f>
        <v>MARGNY LES COMPIEGNE</v>
      </c>
      <c r="L12" s="1">
        <v>45050</v>
      </c>
      <c r="M12" t="str">
        <f t="shared" si="0"/>
        <v>124</v>
      </c>
      <c r="N12" t="str">
        <f t="shared" si="1"/>
        <v>Centre de Santé</v>
      </c>
      <c r="O12" t="str">
        <f>"61"</f>
        <v>61</v>
      </c>
      <c r="P12" t="str">
        <f>"Association Loi 1901 Reconnue d'Utilité Publique"</f>
        <v>Association Loi 1901 Reconnue d'Utilité Publique</v>
      </c>
      <c r="Q12" t="str">
        <f t="shared" si="2"/>
        <v>36</v>
      </c>
      <c r="R12" t="str">
        <f t="shared" si="3"/>
        <v>Tarifs conventionnels assurance maladie</v>
      </c>
      <c r="U12" t="str">
        <f>"600017248"</f>
        <v>600017248</v>
      </c>
    </row>
    <row r="13" spans="1:21" x14ac:dyDescent="0.3">
      <c r="A13" t="str">
        <f>"600017271"</f>
        <v>600017271</v>
      </c>
      <c r="B13" t="str">
        <f>"919 180 687 00015"</f>
        <v>919 180 687 00015</v>
      </c>
      <c r="D13" t="str">
        <f>"CSMD DE LA GARE DE COMPIEGNE"</f>
        <v>CSMD DE LA GARE DE COMPIEGNE</v>
      </c>
      <c r="F13" t="str">
        <f>"102 RUE MOLIERE"</f>
        <v>102 RUE MOLIERE</v>
      </c>
      <c r="H13" t="str">
        <f>"60280"</f>
        <v>60280</v>
      </c>
      <c r="I13" t="str">
        <f>"MARGNY LES COMPIEGNE"</f>
        <v>MARGNY LES COMPIEGNE</v>
      </c>
      <c r="L13" s="1">
        <v>45050</v>
      </c>
      <c r="M13" t="str">
        <f t="shared" si="0"/>
        <v>124</v>
      </c>
      <c r="N13" t="str">
        <f t="shared" si="1"/>
        <v>Centre de Santé</v>
      </c>
      <c r="O13" t="str">
        <f>"61"</f>
        <v>61</v>
      </c>
      <c r="P13" t="str">
        <f>"Association Loi 1901 Reconnue d'Utilité Publique"</f>
        <v>Association Loi 1901 Reconnue d'Utilité Publique</v>
      </c>
      <c r="Q13" t="str">
        <f t="shared" si="2"/>
        <v>36</v>
      </c>
      <c r="R13" t="str">
        <f t="shared" si="3"/>
        <v>Tarifs conventionnels assurance maladie</v>
      </c>
      <c r="U13" t="str">
        <f>"600017263"</f>
        <v>600017263</v>
      </c>
    </row>
    <row r="14" spans="1:21" x14ac:dyDescent="0.3">
      <c r="A14" t="str">
        <f>"670022151"</f>
        <v>670022151</v>
      </c>
      <c r="B14" t="str">
        <f>"920 911 450 00012"</f>
        <v>920 911 450 00012</v>
      </c>
      <c r="D14" t="str">
        <f>"CENTRE DENTAIRE ISA'SMILE"</f>
        <v>CENTRE DENTAIRE ISA'SMILE</v>
      </c>
      <c r="F14" t="str">
        <f>"56 ROUTE DU POLYGONE"</f>
        <v>56 ROUTE DU POLYGONE</v>
      </c>
      <c r="H14" t="str">
        <f>"67100"</f>
        <v>67100</v>
      </c>
      <c r="I14" t="str">
        <f>"STRASBOURG"</f>
        <v>STRASBOURG</v>
      </c>
      <c r="J14" t="str">
        <f>"03 67 57 05 55 "</f>
        <v xml:space="preserve">03 67 57 05 55 </v>
      </c>
      <c r="L14" s="1">
        <v>45048</v>
      </c>
      <c r="M14" t="str">
        <f t="shared" si="0"/>
        <v>124</v>
      </c>
      <c r="N14" t="str">
        <f t="shared" si="1"/>
        <v>Centre de Santé</v>
      </c>
      <c r="O14" t="str">
        <f>"62"</f>
        <v>62</v>
      </c>
      <c r="P14" t="str">
        <f>"Association de Droit Local"</f>
        <v>Association de Droit Local</v>
      </c>
      <c r="Q14" t="str">
        <f t="shared" si="2"/>
        <v>36</v>
      </c>
      <c r="R14" t="str">
        <f t="shared" si="3"/>
        <v>Tarifs conventionnels assurance maladie</v>
      </c>
      <c r="U14" t="str">
        <f>"670022144"</f>
        <v>670022144</v>
      </c>
    </row>
    <row r="15" spans="1:21" x14ac:dyDescent="0.3">
      <c r="A15" t="str">
        <f>"840022537"</f>
        <v>840022537</v>
      </c>
      <c r="B15" t="str">
        <f>"228 400 016 00017"</f>
        <v>228 400 016 00017</v>
      </c>
      <c r="D15" t="str">
        <f>"RESEAU DEPARTEMENTAL SANTE 84 CADENET"</f>
        <v>RESEAU DEPARTEMENTAL SANTE 84 CADENET</v>
      </c>
      <c r="F15" t="str">
        <f>"IMPASSE DU LUBERON"</f>
        <v>IMPASSE DU LUBERON</v>
      </c>
      <c r="H15" t="str">
        <f>"84160"</f>
        <v>84160</v>
      </c>
      <c r="I15" t="str">
        <f>"CADENET"</f>
        <v>CADENET</v>
      </c>
      <c r="J15" t="str">
        <f>"04 90 16 10 32 "</f>
        <v xml:space="preserve">04 90 16 10 32 </v>
      </c>
      <c r="L15" s="1">
        <v>45048</v>
      </c>
      <c r="M15" t="str">
        <f t="shared" si="0"/>
        <v>124</v>
      </c>
      <c r="N15" t="str">
        <f t="shared" si="1"/>
        <v>Centre de Santé</v>
      </c>
      <c r="O15" t="str">
        <f>"02"</f>
        <v>02</v>
      </c>
      <c r="P15" t="str">
        <f>"Département"</f>
        <v>Département</v>
      </c>
      <c r="Q15" t="str">
        <f t="shared" si="2"/>
        <v>36</v>
      </c>
      <c r="R15" t="str">
        <f t="shared" si="3"/>
        <v>Tarifs conventionnels assurance maladie</v>
      </c>
      <c r="U15" t="str">
        <f>"840022404"</f>
        <v>840022404</v>
      </c>
    </row>
    <row r="16" spans="1:21" x14ac:dyDescent="0.3">
      <c r="A16" t="str">
        <f>"280009440"</f>
        <v>280009440</v>
      </c>
      <c r="B16" t="str">
        <f>"775 575 335 00119"</f>
        <v>775 575 335 00119</v>
      </c>
      <c r="D16" t="str">
        <f>"CDS DENTAIRE CBDM"</f>
        <v>CDS DENTAIRE CBDM</v>
      </c>
      <c r="F16" t="str">
        <f>"34 AVENUE LOUIS PASTEUR - MODULE M"</f>
        <v>34 AVENUE LOUIS PASTEUR - MODULE M</v>
      </c>
      <c r="G16" t="str">
        <f>"ZAC DU JARDIN D'ENTREPRISES"</f>
        <v>ZAC DU JARDIN D'ENTREPRISES</v>
      </c>
      <c r="H16" t="str">
        <f>"28630"</f>
        <v>28630</v>
      </c>
      <c r="I16" t="str">
        <f>"GELLAINVILLE"</f>
        <v>GELLAINVILLE</v>
      </c>
      <c r="J16" t="str">
        <f>"02 37 28 36 34 "</f>
        <v xml:space="preserve">02 37 28 36 34 </v>
      </c>
      <c r="L16" s="1">
        <v>45047</v>
      </c>
      <c r="M16" t="str">
        <f t="shared" si="0"/>
        <v>124</v>
      </c>
      <c r="N16" t="str">
        <f t="shared" si="1"/>
        <v>Centre de Santé</v>
      </c>
      <c r="O16" t="str">
        <f>"63"</f>
        <v>63</v>
      </c>
      <c r="P16" t="str">
        <f>"Fondation"</f>
        <v>Fondation</v>
      </c>
      <c r="Q16" t="str">
        <f>"99"</f>
        <v>99</v>
      </c>
      <c r="R16" t="str">
        <f>"Indéterminé"</f>
        <v>Indéterminé</v>
      </c>
      <c r="U16" t="str">
        <f>"280504051"</f>
        <v>280504051</v>
      </c>
    </row>
    <row r="17" spans="1:21" x14ac:dyDescent="0.3">
      <c r="A17" t="str">
        <f>"620036921"</f>
        <v>620036921</v>
      </c>
      <c r="B17" t="str">
        <f>"922 537 600 00012"</f>
        <v>922 537 600 00012</v>
      </c>
      <c r="D17" t="str">
        <f>"CS OPHTALMOLOGIE ARRAS"</f>
        <v>CS OPHTALMOLOGIE ARRAS</v>
      </c>
      <c r="F17" t="str">
        <f>"65 RUE SAINT AUBERT"</f>
        <v>65 RUE SAINT AUBERT</v>
      </c>
      <c r="H17" t="str">
        <f>"62000"</f>
        <v>62000</v>
      </c>
      <c r="I17" t="str">
        <f>"ARRAS"</f>
        <v>ARRAS</v>
      </c>
      <c r="J17" t="str">
        <f>"03 74 09 89 10 "</f>
        <v xml:space="preserve">03 74 09 89 10 </v>
      </c>
      <c r="L17" s="1">
        <v>45044</v>
      </c>
      <c r="M17" t="str">
        <f t="shared" si="0"/>
        <v>124</v>
      </c>
      <c r="N17" t="str">
        <f t="shared" si="1"/>
        <v>Centre de Santé</v>
      </c>
      <c r="O17" t="str">
        <f>"61"</f>
        <v>61</v>
      </c>
      <c r="P17" t="str">
        <f>"Association Loi 1901 Reconnue d'Utilité Publique"</f>
        <v>Association Loi 1901 Reconnue d'Utilité Publique</v>
      </c>
      <c r="Q17" t="str">
        <f>"36"</f>
        <v>36</v>
      </c>
      <c r="R17" t="str">
        <f>"Tarifs conventionnels assurance maladie"</f>
        <v>Tarifs conventionnels assurance maladie</v>
      </c>
      <c r="U17" t="str">
        <f>"620036913"</f>
        <v>620036913</v>
      </c>
    </row>
    <row r="18" spans="1:21" x14ac:dyDescent="0.3">
      <c r="A18" t="str">
        <f>"540026697"</f>
        <v>540026697</v>
      </c>
      <c r="B18" t="str">
        <f>"909 487 936 00017"</f>
        <v>909 487 936 00017</v>
      </c>
      <c r="D18" t="str">
        <f>"CENTRE DE SANTE SAINT GEORGES"</f>
        <v>CENTRE DE SANTE SAINT GEORGES</v>
      </c>
      <c r="F18" t="str">
        <f>"96 RUE SAINT GEORGES"</f>
        <v>96 RUE SAINT GEORGES</v>
      </c>
      <c r="H18" t="str">
        <f>"54000"</f>
        <v>54000</v>
      </c>
      <c r="I18" t="str">
        <f>"NANCY"</f>
        <v>NANCY</v>
      </c>
      <c r="J18" t="str">
        <f>"01 56 62 00 00 "</f>
        <v xml:space="preserve">01 56 62 00 00 </v>
      </c>
      <c r="L18" s="1">
        <v>45040</v>
      </c>
      <c r="M18" t="str">
        <f t="shared" si="0"/>
        <v>124</v>
      </c>
      <c r="N18" t="str">
        <f t="shared" si="1"/>
        <v>Centre de Santé</v>
      </c>
      <c r="O18" t="str">
        <f>"60"</f>
        <v>60</v>
      </c>
      <c r="P18" t="str">
        <f>"Association Loi 1901 non Reconnue d'Utilité Publique"</f>
        <v>Association Loi 1901 non Reconnue d'Utilité Publique</v>
      </c>
      <c r="Q18" t="str">
        <f>"36"</f>
        <v>36</v>
      </c>
      <c r="R18" t="str">
        <f>"Tarifs conventionnels assurance maladie"</f>
        <v>Tarifs conventionnels assurance maladie</v>
      </c>
      <c r="U18" t="str">
        <f>"540026689"</f>
        <v>540026689</v>
      </c>
    </row>
    <row r="19" spans="1:21" x14ac:dyDescent="0.3">
      <c r="A19" t="str">
        <f>"750071565"</f>
        <v>750071565</v>
      </c>
      <c r="B19" t="str">
        <f>"891 257 693 00020"</f>
        <v>891 257 693 00020</v>
      </c>
      <c r="D19" t="str">
        <f>"CDS CENTRE OPHTAVIE DAUMESNIL PARIS 12"</f>
        <v>CDS CENTRE OPHTAVIE DAUMESNIL PARIS 12</v>
      </c>
      <c r="F19" t="str">
        <f>"252 AVENUE DAUMESNIL"</f>
        <v>252 AVENUE DAUMESNIL</v>
      </c>
      <c r="H19" t="str">
        <f>"75012"</f>
        <v>75012</v>
      </c>
      <c r="I19" t="str">
        <f>"PARIS"</f>
        <v>PARIS</v>
      </c>
      <c r="J19" t="str">
        <f>"01 89 16 60 02 "</f>
        <v xml:space="preserve">01 89 16 60 02 </v>
      </c>
      <c r="L19" s="1">
        <v>45040</v>
      </c>
      <c r="M19" t="str">
        <f t="shared" si="0"/>
        <v>124</v>
      </c>
      <c r="N19" t="str">
        <f t="shared" si="1"/>
        <v>Centre de Santé</v>
      </c>
      <c r="O19" t="str">
        <f>"60"</f>
        <v>60</v>
      </c>
      <c r="P19" t="str">
        <f>"Association Loi 1901 non Reconnue d'Utilité Publique"</f>
        <v>Association Loi 1901 non Reconnue d'Utilité Publique</v>
      </c>
      <c r="Q19" t="str">
        <f>"36"</f>
        <v>36</v>
      </c>
      <c r="R19" t="str">
        <f>"Tarifs conventionnels assurance maladie"</f>
        <v>Tarifs conventionnels assurance maladie</v>
      </c>
      <c r="U19" t="str">
        <f>"750071557"</f>
        <v>750071557</v>
      </c>
    </row>
    <row r="20" spans="1:21" x14ac:dyDescent="0.3">
      <c r="A20" t="str">
        <f>"750072118"</f>
        <v>750072118</v>
      </c>
      <c r="B20" t="str">
        <f>"907 514 285 00028"</f>
        <v>907 514 285 00028</v>
      </c>
      <c r="D20" t="str">
        <f>"CDS MEDICAL DENTAIRE IMOLAIR POTEAU"</f>
        <v>CDS MEDICAL DENTAIRE IMOLAIR POTEAU</v>
      </c>
      <c r="F20" t="str">
        <f>"37 RUE LINNE"</f>
        <v>37 RUE LINNE</v>
      </c>
      <c r="H20" t="str">
        <f>"75005"</f>
        <v>75005</v>
      </c>
      <c r="I20" t="str">
        <f>"PARIS"</f>
        <v>PARIS</v>
      </c>
      <c r="J20" t="str">
        <f>"01 89 56 04 87 "</f>
        <v xml:space="preserve">01 89 56 04 87 </v>
      </c>
      <c r="L20" s="1">
        <v>45035</v>
      </c>
      <c r="M20" t="str">
        <f t="shared" si="0"/>
        <v>124</v>
      </c>
      <c r="N20" t="str">
        <f t="shared" si="1"/>
        <v>Centre de Santé</v>
      </c>
      <c r="O20" t="str">
        <f>"60"</f>
        <v>60</v>
      </c>
      <c r="P20" t="str">
        <f>"Association Loi 1901 non Reconnue d'Utilité Publique"</f>
        <v>Association Loi 1901 non Reconnue d'Utilité Publique</v>
      </c>
      <c r="Q20" t="str">
        <f>"36"</f>
        <v>36</v>
      </c>
      <c r="R20" t="str">
        <f>"Tarifs conventionnels assurance maladie"</f>
        <v>Tarifs conventionnels assurance maladie</v>
      </c>
      <c r="U20" t="str">
        <f>"750069692"</f>
        <v>750069692</v>
      </c>
    </row>
    <row r="21" spans="1:21" x14ac:dyDescent="0.3">
      <c r="A21" t="str">
        <f>"830026993"</f>
        <v>830026993</v>
      </c>
      <c r="B21" t="str">
        <f>"918 974 122 00015"</f>
        <v>918 974 122 00015</v>
      </c>
      <c r="D21" t="str">
        <f>"CDS INSTITUT MEDIC. SPORT SANTE FREJUS"</f>
        <v>CDS INSTITUT MEDIC. SPORT SANTE FREJUS</v>
      </c>
      <c r="F21" t="str">
        <f>"RUE JEAN GIONO"</f>
        <v>RUE JEAN GIONO</v>
      </c>
      <c r="H21" t="str">
        <f>"83600"</f>
        <v>83600</v>
      </c>
      <c r="I21" t="str">
        <f>"FREJUS"</f>
        <v>FREJUS</v>
      </c>
      <c r="J21" t="str">
        <f>"07 49 30 10 70 "</f>
        <v xml:space="preserve">07 49 30 10 70 </v>
      </c>
      <c r="L21" s="1">
        <v>45035</v>
      </c>
      <c r="M21" t="str">
        <f t="shared" si="0"/>
        <v>124</v>
      </c>
      <c r="N21" t="str">
        <f t="shared" si="1"/>
        <v>Centre de Santé</v>
      </c>
      <c r="O21" t="str">
        <f>"60"</f>
        <v>60</v>
      </c>
      <c r="P21" t="str">
        <f>"Association Loi 1901 non Reconnue d'Utilité Publique"</f>
        <v>Association Loi 1901 non Reconnue d'Utilité Publique</v>
      </c>
      <c r="Q21" t="str">
        <f>"99"</f>
        <v>99</v>
      </c>
      <c r="R21" t="str">
        <f>"Indéterminé"</f>
        <v>Indéterminé</v>
      </c>
      <c r="U21" t="str">
        <f>"750072126"</f>
        <v>750072126</v>
      </c>
    </row>
    <row r="22" spans="1:21" x14ac:dyDescent="0.3">
      <c r="A22" t="str">
        <f>"890010762"</f>
        <v>890010762</v>
      </c>
      <c r="B22" t="str">
        <f>"918 182 031 00016"</f>
        <v>918 182 031 00016</v>
      </c>
      <c r="D22" t="str">
        <f>"CENTRE DE SANTE DENTAIRE SENS"</f>
        <v>CENTRE DE SANTE DENTAIRE SENS</v>
      </c>
      <c r="F22" t="str">
        <f>"53 GRANDE RUE"</f>
        <v>53 GRANDE RUE</v>
      </c>
      <c r="H22" t="str">
        <f>"89100"</f>
        <v>89100</v>
      </c>
      <c r="I22" t="str">
        <f>"SENS"</f>
        <v>SENS</v>
      </c>
      <c r="L22" s="1">
        <v>45033</v>
      </c>
      <c r="M22" t="str">
        <f t="shared" si="0"/>
        <v>124</v>
      </c>
      <c r="N22" t="str">
        <f t="shared" si="1"/>
        <v>Centre de Santé</v>
      </c>
      <c r="O22" t="str">
        <f>"60"</f>
        <v>60</v>
      </c>
      <c r="P22" t="str">
        <f>"Association Loi 1901 non Reconnue d'Utilité Publique"</f>
        <v>Association Loi 1901 non Reconnue d'Utilité Publique</v>
      </c>
      <c r="Q22" t="str">
        <f t="shared" ref="Q22:Q27" si="6">"36"</f>
        <v>36</v>
      </c>
      <c r="R22" t="str">
        <f t="shared" ref="R22:R27" si="7">"Tarifs conventionnels assurance maladie"</f>
        <v>Tarifs conventionnels assurance maladie</v>
      </c>
      <c r="U22" t="str">
        <f>"890010754"</f>
        <v>890010754</v>
      </c>
    </row>
    <row r="23" spans="1:21" x14ac:dyDescent="0.3">
      <c r="A23" t="str">
        <f>"690053202"</f>
        <v>690053202</v>
      </c>
      <c r="D23" t="str">
        <f>"CENTRE DE SANTE DENTAIRE LABELIA"</f>
        <v>CENTRE DE SANTE DENTAIRE LABELIA</v>
      </c>
      <c r="F23" t="str">
        <f>"7 RUE JEAN ELYSEE DUPUY"</f>
        <v>7 RUE JEAN ELYSEE DUPUY</v>
      </c>
      <c r="H23" t="str">
        <f>"69410"</f>
        <v>69410</v>
      </c>
      <c r="I23" t="str">
        <f>"CHAMPAGNE AU MONT D OR"</f>
        <v>CHAMPAGNE AU MONT D OR</v>
      </c>
      <c r="L23" s="1">
        <v>45030</v>
      </c>
      <c r="M23" t="str">
        <f t="shared" si="0"/>
        <v>124</v>
      </c>
      <c r="N23" t="str">
        <f t="shared" si="1"/>
        <v>Centre de Santé</v>
      </c>
      <c r="O23" t="str">
        <f>"61"</f>
        <v>61</v>
      </c>
      <c r="P23" t="str">
        <f>"Association Loi 1901 Reconnue d'Utilité Publique"</f>
        <v>Association Loi 1901 Reconnue d'Utilité Publique</v>
      </c>
      <c r="Q23" t="str">
        <f t="shared" si="6"/>
        <v>36</v>
      </c>
      <c r="R23" t="str">
        <f t="shared" si="7"/>
        <v>Tarifs conventionnels assurance maladie</v>
      </c>
      <c r="U23" t="str">
        <f>"690041207"</f>
        <v>690041207</v>
      </c>
    </row>
    <row r="24" spans="1:21" x14ac:dyDescent="0.3">
      <c r="A24" t="str">
        <f>"770026904"</f>
        <v>770026904</v>
      </c>
      <c r="B24" t="str">
        <f>"200 037 133 00010"</f>
        <v>200 037 133 00010</v>
      </c>
      <c r="D24" t="str">
        <f>"CENTRE DE SANTE DU PROVINOIS"</f>
        <v>CENTRE DE SANTE DU PROVINOIS</v>
      </c>
      <c r="F24" t="str">
        <f>"25 PLACE HONORE DE BALZAC"</f>
        <v>25 PLACE HONORE DE BALZAC</v>
      </c>
      <c r="H24" t="str">
        <f>"77160"</f>
        <v>77160</v>
      </c>
      <c r="I24" t="str">
        <f>"PROVINS"</f>
        <v>PROVINS</v>
      </c>
      <c r="J24" t="str">
        <f>"01 60 52 50 63 "</f>
        <v xml:space="preserve">01 60 52 50 63 </v>
      </c>
      <c r="L24" s="1">
        <v>45029</v>
      </c>
      <c r="M24" t="str">
        <f t="shared" si="0"/>
        <v>124</v>
      </c>
      <c r="N24" t="str">
        <f t="shared" si="1"/>
        <v>Centre de Santé</v>
      </c>
      <c r="O24" t="str">
        <f>"03"</f>
        <v>03</v>
      </c>
      <c r="P24" t="str">
        <f>"Commune"</f>
        <v>Commune</v>
      </c>
      <c r="Q24" t="str">
        <f t="shared" si="6"/>
        <v>36</v>
      </c>
      <c r="R24" t="str">
        <f t="shared" si="7"/>
        <v>Tarifs conventionnels assurance maladie</v>
      </c>
      <c r="U24" t="str">
        <f>"770026896"</f>
        <v>770026896</v>
      </c>
    </row>
    <row r="25" spans="1:21" x14ac:dyDescent="0.3">
      <c r="A25" t="str">
        <f>"940028970"</f>
        <v>940028970</v>
      </c>
      <c r="B25" t="str">
        <f>"903 838 985 00021"</f>
        <v>903 838 985 00021</v>
      </c>
      <c r="D25" t="str">
        <f>"CDS POLYVALENT MYCARE CLINIC"</f>
        <v>CDS POLYVALENT MYCARE CLINIC</v>
      </c>
      <c r="F25" t="str">
        <f>"140 BOULEVARD MAXIME GORKI"</f>
        <v>140 BOULEVARD MAXIME GORKI</v>
      </c>
      <c r="H25" t="str">
        <f>"94800"</f>
        <v>94800</v>
      </c>
      <c r="I25" t="str">
        <f>"VILLEJUIF"</f>
        <v>VILLEJUIF</v>
      </c>
      <c r="J25" t="str">
        <f>"01 46 72 37 09 "</f>
        <v xml:space="preserve">01 46 72 37 09 </v>
      </c>
      <c r="L25" s="1">
        <v>45027</v>
      </c>
      <c r="M25" t="str">
        <f t="shared" si="0"/>
        <v>124</v>
      </c>
      <c r="N25" t="str">
        <f t="shared" si="1"/>
        <v>Centre de Santé</v>
      </c>
      <c r="O25" t="str">
        <f>"60"</f>
        <v>60</v>
      </c>
      <c r="P25" t="str">
        <f>"Association Loi 1901 non Reconnue d'Utilité Publique"</f>
        <v>Association Loi 1901 non Reconnue d'Utilité Publique</v>
      </c>
      <c r="Q25" t="str">
        <f t="shared" si="6"/>
        <v>36</v>
      </c>
      <c r="R25" t="str">
        <f t="shared" si="7"/>
        <v>Tarifs conventionnels assurance maladie</v>
      </c>
      <c r="U25" t="str">
        <f>"940028962"</f>
        <v>940028962</v>
      </c>
    </row>
    <row r="26" spans="1:21" x14ac:dyDescent="0.3">
      <c r="A26" t="str">
        <f>"300021144"</f>
        <v>300021144</v>
      </c>
      <c r="B26" t="str">
        <f>"130 030 158 00120"</f>
        <v>130 030 158 00120</v>
      </c>
      <c r="D26" t="str">
        <f>"CENTRE DE SANTÉ MA REGION SAINT GILLES"</f>
        <v>CENTRE DE SANTÉ MA REGION SAINT GILLES</v>
      </c>
      <c r="F26" t="str">
        <f>"7 PLACE GAMBETTA"</f>
        <v>7 PLACE GAMBETTA</v>
      </c>
      <c r="H26" t="str">
        <f>"30800"</f>
        <v>30800</v>
      </c>
      <c r="I26" t="str">
        <f>"ST GILLES"</f>
        <v>ST GILLES</v>
      </c>
      <c r="L26" s="1">
        <v>45021</v>
      </c>
      <c r="M26" t="str">
        <f t="shared" si="0"/>
        <v>124</v>
      </c>
      <c r="N26" t="str">
        <f t="shared" si="1"/>
        <v>Centre de Santé</v>
      </c>
      <c r="O26" t="str">
        <f>"04"</f>
        <v>04</v>
      </c>
      <c r="P26" t="str">
        <f>"Région"</f>
        <v>Région</v>
      </c>
      <c r="Q26" t="str">
        <f t="shared" si="6"/>
        <v>36</v>
      </c>
      <c r="R26" t="str">
        <f t="shared" si="7"/>
        <v>Tarifs conventionnels assurance maladie</v>
      </c>
      <c r="U26" t="str">
        <f>"310034392"</f>
        <v>310034392</v>
      </c>
    </row>
    <row r="27" spans="1:21" x14ac:dyDescent="0.3">
      <c r="A27" t="str">
        <f>"750071805"</f>
        <v>750071805</v>
      </c>
      <c r="B27" t="str">
        <f>"922 717 640 00010"</f>
        <v>922 717 640 00010</v>
      </c>
      <c r="D27" t="str">
        <f>"CDS LE BON COUP D OEIL"</f>
        <v>CDS LE BON COUP D OEIL</v>
      </c>
      <c r="E27" t="str">
        <f>"95 RUE DE TOLBIAC"</f>
        <v>95 RUE DE TOLBIAC</v>
      </c>
      <c r="F27" t="str">
        <f>"22 RUE DU DISQUE"</f>
        <v>22 RUE DU DISQUE</v>
      </c>
      <c r="G27" t="str">
        <f>"GALERIE OLYMPIADES"</f>
        <v>GALERIE OLYMPIADES</v>
      </c>
      <c r="H27" t="str">
        <f>"75013"</f>
        <v>75013</v>
      </c>
      <c r="I27" t="str">
        <f>"PARIS"</f>
        <v>PARIS</v>
      </c>
      <c r="J27" t="str">
        <f>"01 84 78 53 80 "</f>
        <v xml:space="preserve">01 84 78 53 80 </v>
      </c>
      <c r="L27" s="1">
        <v>45020</v>
      </c>
      <c r="M27" t="str">
        <f t="shared" si="0"/>
        <v>124</v>
      </c>
      <c r="N27" t="str">
        <f t="shared" si="1"/>
        <v>Centre de Santé</v>
      </c>
      <c r="O27" t="str">
        <f t="shared" ref="O27:O35" si="8">"60"</f>
        <v>60</v>
      </c>
      <c r="P27" t="str">
        <f t="shared" ref="P27:P35" si="9">"Association Loi 1901 non Reconnue d'Utilité Publique"</f>
        <v>Association Loi 1901 non Reconnue d'Utilité Publique</v>
      </c>
      <c r="Q27" t="str">
        <f t="shared" si="6"/>
        <v>36</v>
      </c>
      <c r="R27" t="str">
        <f t="shared" si="7"/>
        <v>Tarifs conventionnels assurance maladie</v>
      </c>
      <c r="U27" t="str">
        <f>"750071797"</f>
        <v>750071797</v>
      </c>
    </row>
    <row r="28" spans="1:21" x14ac:dyDescent="0.3">
      <c r="A28" t="str">
        <f>"180010662"</f>
        <v>180010662</v>
      </c>
      <c r="B28" t="str">
        <f>"919 961 250 00017"</f>
        <v>919 961 250 00017</v>
      </c>
      <c r="D28" t="str">
        <f>"CENTRE DE SANTE DENTAIRE BOURGES"</f>
        <v>CENTRE DE SANTE DENTAIRE BOURGES</v>
      </c>
      <c r="F28" t="str">
        <f>"18 RUE DU PRE DOULET"</f>
        <v>18 RUE DU PRE DOULET</v>
      </c>
      <c r="G28" t="str">
        <f>"ZAC DU PRADO"</f>
        <v>ZAC DU PRADO</v>
      </c>
      <c r="H28" t="str">
        <f>"18000"</f>
        <v>18000</v>
      </c>
      <c r="I28" t="str">
        <f>"BOURGES"</f>
        <v>BOURGES</v>
      </c>
      <c r="L28" s="1">
        <v>45019</v>
      </c>
      <c r="M28" t="str">
        <f t="shared" si="0"/>
        <v>124</v>
      </c>
      <c r="N28" t="str">
        <f t="shared" si="1"/>
        <v>Centre de Santé</v>
      </c>
      <c r="O28" t="str">
        <f t="shared" si="8"/>
        <v>60</v>
      </c>
      <c r="P28" t="str">
        <f t="shared" si="9"/>
        <v>Association Loi 1901 non Reconnue d'Utilité Publique</v>
      </c>
      <c r="Q28" t="str">
        <f>"99"</f>
        <v>99</v>
      </c>
      <c r="R28" t="str">
        <f>"Indéterminé"</f>
        <v>Indéterminé</v>
      </c>
      <c r="U28" t="str">
        <f>"180010654"</f>
        <v>180010654</v>
      </c>
    </row>
    <row r="29" spans="1:21" x14ac:dyDescent="0.3">
      <c r="A29" t="str">
        <f>"240018333"</f>
        <v>240018333</v>
      </c>
      <c r="B29" t="str">
        <f>"912 926 474 00020"</f>
        <v>912 926 474 00020</v>
      </c>
      <c r="D29" t="str">
        <f>"CDS DENTAIRE DE BERGERAC"</f>
        <v>CDS DENTAIRE DE BERGERAC</v>
      </c>
      <c r="F29" t="str">
        <f>"14 RUE DU DR MARCEL BRETON"</f>
        <v>14 RUE DU DR MARCEL BRETON</v>
      </c>
      <c r="H29" t="str">
        <f>"24100"</f>
        <v>24100</v>
      </c>
      <c r="I29" t="str">
        <f>"BERGERAC"</f>
        <v>BERGERAC</v>
      </c>
      <c r="J29" t="str">
        <f>"05 82 84 85 35 "</f>
        <v xml:space="preserve">05 82 84 85 35 </v>
      </c>
      <c r="L29" s="1">
        <v>45019</v>
      </c>
      <c r="M29" t="str">
        <f t="shared" si="0"/>
        <v>124</v>
      </c>
      <c r="N29" t="str">
        <f t="shared" si="1"/>
        <v>Centre de Santé</v>
      </c>
      <c r="O29" t="str">
        <f t="shared" si="8"/>
        <v>60</v>
      </c>
      <c r="P29" t="str">
        <f t="shared" si="9"/>
        <v>Association Loi 1901 non Reconnue d'Utilité Publique</v>
      </c>
      <c r="Q29" t="str">
        <f t="shared" ref="Q29:Q66" si="10">"36"</f>
        <v>36</v>
      </c>
      <c r="R29" t="str">
        <f t="shared" ref="R29:R66" si="11">"Tarifs conventionnels assurance maladie"</f>
        <v>Tarifs conventionnels assurance maladie</v>
      </c>
      <c r="U29" t="str">
        <f>"240018432"</f>
        <v>240018432</v>
      </c>
    </row>
    <row r="30" spans="1:21" x14ac:dyDescent="0.3">
      <c r="A30" t="str">
        <f>"380026674"</f>
        <v>380026674</v>
      </c>
      <c r="B30" t="str">
        <f>"904 844 248 00016"</f>
        <v>904 844 248 00016</v>
      </c>
      <c r="D30" t="str">
        <f>"CENTRE DE SANTE DENTAIRE VERTUO"</f>
        <v>CENTRE DE SANTE DENTAIRE VERTUO</v>
      </c>
      <c r="E30" t="str">
        <f>"CC CARREFOUR"</f>
        <v>CC CARREFOUR</v>
      </c>
      <c r="F30" t="str">
        <f>"25 RUE DES SAYES"</f>
        <v>25 RUE DES SAYES</v>
      </c>
      <c r="H30" t="str">
        <f>"38080"</f>
        <v>38080</v>
      </c>
      <c r="I30" t="str">
        <f>"L ISLE D ABEAU"</f>
        <v>L ISLE D ABEAU</v>
      </c>
      <c r="L30" s="1">
        <v>45019</v>
      </c>
      <c r="M30" t="str">
        <f t="shared" si="0"/>
        <v>124</v>
      </c>
      <c r="N30" t="str">
        <f t="shared" si="1"/>
        <v>Centre de Santé</v>
      </c>
      <c r="O30" t="str">
        <f t="shared" si="8"/>
        <v>60</v>
      </c>
      <c r="P30" t="str">
        <f t="shared" si="9"/>
        <v>Association Loi 1901 non Reconnue d'Utilité Publique</v>
      </c>
      <c r="Q30" t="str">
        <f t="shared" si="10"/>
        <v>36</v>
      </c>
      <c r="R30" t="str">
        <f t="shared" si="11"/>
        <v>Tarifs conventionnels assurance maladie</v>
      </c>
      <c r="U30" t="str">
        <f>"380026666"</f>
        <v>380026666</v>
      </c>
    </row>
    <row r="31" spans="1:21" x14ac:dyDescent="0.3">
      <c r="A31" t="str">
        <f>"760039438"</f>
        <v>760039438</v>
      </c>
      <c r="B31" t="str">
        <f>"891 826 307 00011"</f>
        <v>891 826 307 00011</v>
      </c>
      <c r="D31" t="str">
        <f>"CENTRE MEDICO-DENTAIRE LE CONQUERANT"</f>
        <v>CENTRE MEDICO-DENTAIRE LE CONQUERANT</v>
      </c>
      <c r="F31" t="str">
        <f>"11 RUE GUILLAUME LE CONQUERANT"</f>
        <v>11 RUE GUILLAUME LE CONQUERANT</v>
      </c>
      <c r="H31" t="str">
        <f>"76000"</f>
        <v>76000</v>
      </c>
      <c r="I31" t="str">
        <f>"ROUEN"</f>
        <v>ROUEN</v>
      </c>
      <c r="J31" t="str">
        <f>"06 64 39 75 09 "</f>
        <v xml:space="preserve">06 64 39 75 09 </v>
      </c>
      <c r="L31" s="1">
        <v>45019</v>
      </c>
      <c r="M31" t="str">
        <f t="shared" si="0"/>
        <v>124</v>
      </c>
      <c r="N31" t="str">
        <f t="shared" si="1"/>
        <v>Centre de Santé</v>
      </c>
      <c r="O31" t="str">
        <f t="shared" si="8"/>
        <v>60</v>
      </c>
      <c r="P31" t="str">
        <f t="shared" si="9"/>
        <v>Association Loi 1901 non Reconnue d'Utilité Publique</v>
      </c>
      <c r="Q31" t="str">
        <f t="shared" si="10"/>
        <v>36</v>
      </c>
      <c r="R31" t="str">
        <f t="shared" si="11"/>
        <v>Tarifs conventionnels assurance maladie</v>
      </c>
      <c r="U31" t="str">
        <f>"760039420"</f>
        <v>760039420</v>
      </c>
    </row>
    <row r="32" spans="1:21" x14ac:dyDescent="0.3">
      <c r="A32" t="str">
        <f>"950047597"</f>
        <v>950047597</v>
      </c>
      <c r="B32" t="str">
        <f>"922 648 092 00018"</f>
        <v>922 648 092 00018</v>
      </c>
      <c r="D32" t="str">
        <f>"CDS DENTAIRE D AUVERS SUR OISE"</f>
        <v>CDS DENTAIRE D AUVERS SUR OISE</v>
      </c>
      <c r="E32" t="str">
        <f>"1A"</f>
        <v>1A</v>
      </c>
      <c r="F32" t="str">
        <f>"1 RUE DU GENERAL DE GAULLE"</f>
        <v>1 RUE DU GENERAL DE GAULLE</v>
      </c>
      <c r="H32" t="str">
        <f>"95430"</f>
        <v>95430</v>
      </c>
      <c r="I32" t="str">
        <f>"AUVERS SUR OISE"</f>
        <v>AUVERS SUR OISE</v>
      </c>
      <c r="J32" t="str">
        <f>"01 42 92 82 53 "</f>
        <v xml:space="preserve">01 42 92 82 53 </v>
      </c>
      <c r="L32" s="1">
        <v>45019</v>
      </c>
      <c r="M32" t="str">
        <f t="shared" si="0"/>
        <v>124</v>
      </c>
      <c r="N32" t="str">
        <f t="shared" si="1"/>
        <v>Centre de Santé</v>
      </c>
      <c r="O32" t="str">
        <f t="shared" si="8"/>
        <v>60</v>
      </c>
      <c r="P32" t="str">
        <f t="shared" si="9"/>
        <v>Association Loi 1901 non Reconnue d'Utilité Publique</v>
      </c>
      <c r="Q32" t="str">
        <f t="shared" si="10"/>
        <v>36</v>
      </c>
      <c r="R32" t="str">
        <f t="shared" si="11"/>
        <v>Tarifs conventionnels assurance maladie</v>
      </c>
      <c r="U32" t="str">
        <f>"950047589"</f>
        <v>950047589</v>
      </c>
    </row>
    <row r="33" spans="1:21" x14ac:dyDescent="0.3">
      <c r="A33" t="str">
        <f>"060031598"</f>
        <v>060031598</v>
      </c>
      <c r="B33" t="str">
        <f>"917 623 357 00014"</f>
        <v>917 623 357 00014</v>
      </c>
      <c r="D33" t="str">
        <f>"CDS MEDICO DENTAIRE LOUIS NEGRIN"</f>
        <v>CDS MEDICO DENTAIRE LOUIS NEGRIN</v>
      </c>
      <c r="F33" t="str">
        <f>"16 BOULEVARD LOUIS NEGRIN"</f>
        <v>16 BOULEVARD LOUIS NEGRIN</v>
      </c>
      <c r="H33" t="str">
        <f>"06150"</f>
        <v>06150</v>
      </c>
      <c r="I33" t="str">
        <f>"CANNES"</f>
        <v>CANNES</v>
      </c>
      <c r="J33" t="str">
        <f>"06 50 24 13 45 "</f>
        <v xml:space="preserve">06 50 24 13 45 </v>
      </c>
      <c r="L33" s="1">
        <v>45017</v>
      </c>
      <c r="M33" t="str">
        <f t="shared" si="0"/>
        <v>124</v>
      </c>
      <c r="N33" t="str">
        <f t="shared" si="1"/>
        <v>Centre de Santé</v>
      </c>
      <c r="O33" t="str">
        <f t="shared" si="8"/>
        <v>60</v>
      </c>
      <c r="P33" t="str">
        <f t="shared" si="9"/>
        <v>Association Loi 1901 non Reconnue d'Utilité Publique</v>
      </c>
      <c r="Q33" t="str">
        <f t="shared" si="10"/>
        <v>36</v>
      </c>
      <c r="R33" t="str">
        <f t="shared" si="11"/>
        <v>Tarifs conventionnels assurance maladie</v>
      </c>
      <c r="U33" t="str">
        <f>"060031580"</f>
        <v>060031580</v>
      </c>
    </row>
    <row r="34" spans="1:21" x14ac:dyDescent="0.3">
      <c r="A34" t="str">
        <f>"630016087"</f>
        <v>630016087</v>
      </c>
      <c r="B34" t="str">
        <f>"775 634 116 00039"</f>
        <v>775 634 116 00039</v>
      </c>
      <c r="D34" t="str">
        <f>"CENTRE DE SANTE DE L'ASM"</f>
        <v>CENTRE DE SANTE DE L'ASM</v>
      </c>
      <c r="F34" t="str">
        <f>"84 BOULEVARD LEON JOUHAUX"</f>
        <v>84 BOULEVARD LEON JOUHAUX</v>
      </c>
      <c r="H34" t="str">
        <f>"63000"</f>
        <v>63000</v>
      </c>
      <c r="I34" t="str">
        <f>"CLERMONT FERRAND"</f>
        <v>CLERMONT FERRAND</v>
      </c>
      <c r="J34" t="str">
        <f>"06 77 33 46 69 "</f>
        <v xml:space="preserve">06 77 33 46 69 </v>
      </c>
      <c r="L34" s="1">
        <v>45017</v>
      </c>
      <c r="M34" t="str">
        <f t="shared" si="0"/>
        <v>124</v>
      </c>
      <c r="N34" t="str">
        <f t="shared" si="1"/>
        <v>Centre de Santé</v>
      </c>
      <c r="O34" t="str">
        <f t="shared" si="8"/>
        <v>60</v>
      </c>
      <c r="P34" t="str">
        <f t="shared" si="9"/>
        <v>Association Loi 1901 non Reconnue d'Utilité Publique</v>
      </c>
      <c r="Q34" t="str">
        <f t="shared" si="10"/>
        <v>36</v>
      </c>
      <c r="R34" t="str">
        <f t="shared" si="11"/>
        <v>Tarifs conventionnels assurance maladie</v>
      </c>
      <c r="U34" t="str">
        <f>"630016079"</f>
        <v>630016079</v>
      </c>
    </row>
    <row r="35" spans="1:21" x14ac:dyDescent="0.3">
      <c r="A35" t="str">
        <f>"840022461"</f>
        <v>840022461</v>
      </c>
      <c r="B35" t="str">
        <f>"922 237 458 00018"</f>
        <v>922 237 458 00018</v>
      </c>
      <c r="D35" t="str">
        <f>"CDS OPHTALMOLOGIQUE D'ORANGE"</f>
        <v>CDS OPHTALMOLOGIQUE D'ORANGE</v>
      </c>
      <c r="F35" t="str">
        <f>"24 RUE B DES VEYRIERES"</f>
        <v>24 RUE B DES VEYRIERES</v>
      </c>
      <c r="H35" t="str">
        <f>"84100"</f>
        <v>84100</v>
      </c>
      <c r="I35" t="str">
        <f>"ORANGE"</f>
        <v>ORANGE</v>
      </c>
      <c r="J35" t="str">
        <f>"04 84 51 06 10 "</f>
        <v xml:space="preserve">04 84 51 06 10 </v>
      </c>
      <c r="L35" s="1">
        <v>45017</v>
      </c>
      <c r="M35" t="str">
        <f t="shared" si="0"/>
        <v>124</v>
      </c>
      <c r="N35" t="str">
        <f t="shared" si="1"/>
        <v>Centre de Santé</v>
      </c>
      <c r="O35" t="str">
        <f t="shared" si="8"/>
        <v>60</v>
      </c>
      <c r="P35" t="str">
        <f t="shared" si="9"/>
        <v>Association Loi 1901 non Reconnue d'Utilité Publique</v>
      </c>
      <c r="Q35" t="str">
        <f t="shared" si="10"/>
        <v>36</v>
      </c>
      <c r="R35" t="str">
        <f t="shared" si="11"/>
        <v>Tarifs conventionnels assurance maladie</v>
      </c>
      <c r="U35" t="str">
        <f>"840022453"</f>
        <v>840022453</v>
      </c>
    </row>
    <row r="36" spans="1:21" x14ac:dyDescent="0.3">
      <c r="A36" t="str">
        <f>"260023171"</f>
        <v>260023171</v>
      </c>
      <c r="B36" t="str">
        <f>"212 603 245 00011"</f>
        <v>212 603 245 00011</v>
      </c>
      <c r="D36" t="str">
        <f>"CENTRE DE SANTE ST-PAUL-TROIS-CHATEAUX"</f>
        <v>CENTRE DE SANTE ST-PAUL-TROIS-CHATEAUX</v>
      </c>
      <c r="F36" t="str">
        <f>"4 RUE DES CLASTRES"</f>
        <v>4 RUE DES CLASTRES</v>
      </c>
      <c r="H36" t="str">
        <f>"26130"</f>
        <v>26130</v>
      </c>
      <c r="I36" t="str">
        <f>"ST PAUL TROIS CHATEAUX"</f>
        <v>ST PAUL TROIS CHATEAUX</v>
      </c>
      <c r="L36" s="1">
        <v>45015</v>
      </c>
      <c r="M36" t="str">
        <f t="shared" si="0"/>
        <v>124</v>
      </c>
      <c r="N36" t="str">
        <f t="shared" si="1"/>
        <v>Centre de Santé</v>
      </c>
      <c r="O36" t="str">
        <f>"03"</f>
        <v>03</v>
      </c>
      <c r="P36" t="str">
        <f>"Commune"</f>
        <v>Commune</v>
      </c>
      <c r="Q36" t="str">
        <f t="shared" si="10"/>
        <v>36</v>
      </c>
      <c r="R36" t="str">
        <f t="shared" si="11"/>
        <v>Tarifs conventionnels assurance maladie</v>
      </c>
      <c r="U36" t="str">
        <f>"260008321"</f>
        <v>260008321</v>
      </c>
    </row>
    <row r="37" spans="1:21" x14ac:dyDescent="0.3">
      <c r="A37" t="str">
        <f>"700006141"</f>
        <v>700006141</v>
      </c>
      <c r="B37" t="str">
        <f>"217 003 110 00210"</f>
        <v>217 003 110 00210</v>
      </c>
      <c r="D37" t="str">
        <f>"CENTRE COMMUNAL  DE SANTE ORGANZA"</f>
        <v>CENTRE COMMUNAL  DE SANTE ORGANZA</v>
      </c>
      <c r="F37" t="str">
        <f>"5 RUE JULES ADLER"</f>
        <v>5 RUE JULES ADLER</v>
      </c>
      <c r="H37" t="str">
        <f>"70300"</f>
        <v>70300</v>
      </c>
      <c r="I37" t="str">
        <f>"LUXEUIL LES BAINS"</f>
        <v>LUXEUIL LES BAINS</v>
      </c>
      <c r="L37" s="1">
        <v>45015</v>
      </c>
      <c r="M37" t="str">
        <f t="shared" si="0"/>
        <v>124</v>
      </c>
      <c r="N37" t="str">
        <f t="shared" si="1"/>
        <v>Centre de Santé</v>
      </c>
      <c r="O37" t="str">
        <f>"03"</f>
        <v>03</v>
      </c>
      <c r="P37" t="str">
        <f>"Commune"</f>
        <v>Commune</v>
      </c>
      <c r="Q37" t="str">
        <f t="shared" si="10"/>
        <v>36</v>
      </c>
      <c r="R37" t="str">
        <f t="shared" si="11"/>
        <v>Tarifs conventionnels assurance maladie</v>
      </c>
      <c r="U37" t="str">
        <f>"700006133"</f>
        <v>700006133</v>
      </c>
    </row>
    <row r="38" spans="1:21" x14ac:dyDescent="0.3">
      <c r="A38" t="str">
        <f>"770026813"</f>
        <v>770026813</v>
      </c>
      <c r="B38" t="str">
        <f>"908 595 267 00026"</f>
        <v>908 595 267 00026</v>
      </c>
      <c r="D38" t="str">
        <f>"CDS CENTRE DENTAIRE DENTARIA"</f>
        <v>CDS CENTRE DENTAIRE DENTARIA</v>
      </c>
      <c r="F38" t="str">
        <f>"8 RUE PAUL VAILLANT COUTURIER"</f>
        <v>8 RUE PAUL VAILLANT COUTURIER</v>
      </c>
      <c r="H38" t="str">
        <f>"77290"</f>
        <v>77290</v>
      </c>
      <c r="I38" t="str">
        <f>"MITRY MORY"</f>
        <v>MITRY MORY</v>
      </c>
      <c r="J38" t="str">
        <f>"01 87 66 00 96 "</f>
        <v xml:space="preserve">01 87 66 00 96 </v>
      </c>
      <c r="L38" s="1">
        <v>45012</v>
      </c>
      <c r="M38" t="str">
        <f t="shared" si="0"/>
        <v>124</v>
      </c>
      <c r="N38" t="str">
        <f t="shared" si="1"/>
        <v>Centre de Santé</v>
      </c>
      <c r="O38" t="str">
        <f>"60"</f>
        <v>60</v>
      </c>
      <c r="P38" t="str">
        <f>"Association Loi 1901 non Reconnue d'Utilité Publique"</f>
        <v>Association Loi 1901 non Reconnue d'Utilité Publique</v>
      </c>
      <c r="Q38" t="str">
        <f t="shared" si="10"/>
        <v>36</v>
      </c>
      <c r="R38" t="str">
        <f t="shared" si="11"/>
        <v>Tarifs conventionnels assurance maladie</v>
      </c>
      <c r="U38" t="str">
        <f>"770026805"</f>
        <v>770026805</v>
      </c>
    </row>
    <row r="39" spans="1:21" x14ac:dyDescent="0.3">
      <c r="A39" t="str">
        <f>"930032834"</f>
        <v>930032834</v>
      </c>
      <c r="B39" t="str">
        <f>"918 650 730 00016"</f>
        <v>918 650 730 00016</v>
      </c>
      <c r="D39" t="str">
        <f>"CDS MED DENTAIRE MONTREUIL BAGNOLET"</f>
        <v>CDS MED DENTAIRE MONTREUIL BAGNOLET</v>
      </c>
      <c r="F39" t="str">
        <f>"7 RUE DU CLOS FRANCAIS"</f>
        <v>7 RUE DU CLOS FRANCAIS</v>
      </c>
      <c r="H39" t="str">
        <f>"93100"</f>
        <v>93100</v>
      </c>
      <c r="I39" t="str">
        <f>"MONTREUIL"</f>
        <v>MONTREUIL</v>
      </c>
      <c r="J39" t="str">
        <f>"01 86 64 15 90 "</f>
        <v xml:space="preserve">01 86 64 15 90 </v>
      </c>
      <c r="L39" s="1">
        <v>45012</v>
      </c>
      <c r="M39" t="str">
        <f t="shared" si="0"/>
        <v>124</v>
      </c>
      <c r="N39" t="str">
        <f t="shared" si="1"/>
        <v>Centre de Santé</v>
      </c>
      <c r="O39" t="str">
        <f>"60"</f>
        <v>60</v>
      </c>
      <c r="P39" t="str">
        <f>"Association Loi 1901 non Reconnue d'Utilité Publique"</f>
        <v>Association Loi 1901 non Reconnue d'Utilité Publique</v>
      </c>
      <c r="Q39" t="str">
        <f t="shared" si="10"/>
        <v>36</v>
      </c>
      <c r="R39" t="str">
        <f t="shared" si="11"/>
        <v>Tarifs conventionnels assurance maladie</v>
      </c>
      <c r="U39" t="str">
        <f>"930032826"</f>
        <v>930032826</v>
      </c>
    </row>
    <row r="40" spans="1:21" x14ac:dyDescent="0.3">
      <c r="A40" t="str">
        <f>"930033444"</f>
        <v>930033444</v>
      </c>
      <c r="B40" t="str">
        <f>"919 165 845 00018"</f>
        <v>919 165 845 00018</v>
      </c>
      <c r="D40" t="str">
        <f>"CDS DENTAIRE LA COURNEUVE"</f>
        <v>CDS DENTAIRE LA COURNEUVE</v>
      </c>
      <c r="F40" t="str">
        <f>"1 RUE MAURICE RAVEL"</f>
        <v>1 RUE MAURICE RAVEL</v>
      </c>
      <c r="H40" t="str">
        <f>"93120"</f>
        <v>93120</v>
      </c>
      <c r="I40" t="str">
        <f>"LA COURNEUVE"</f>
        <v>LA COURNEUVE</v>
      </c>
      <c r="J40" t="str">
        <f>"01 88 59 07 39 "</f>
        <v xml:space="preserve">01 88 59 07 39 </v>
      </c>
      <c r="L40" s="1">
        <v>45012</v>
      </c>
      <c r="M40" t="str">
        <f t="shared" si="0"/>
        <v>124</v>
      </c>
      <c r="N40" t="str">
        <f t="shared" si="1"/>
        <v>Centre de Santé</v>
      </c>
      <c r="O40" t="str">
        <f>"60"</f>
        <v>60</v>
      </c>
      <c r="P40" t="str">
        <f>"Association Loi 1901 non Reconnue d'Utilité Publique"</f>
        <v>Association Loi 1901 non Reconnue d'Utilité Publique</v>
      </c>
      <c r="Q40" t="str">
        <f t="shared" si="10"/>
        <v>36</v>
      </c>
      <c r="R40" t="str">
        <f t="shared" si="11"/>
        <v>Tarifs conventionnels assurance maladie</v>
      </c>
      <c r="U40" t="str">
        <f>"930033436"</f>
        <v>930033436</v>
      </c>
    </row>
    <row r="41" spans="1:21" x14ac:dyDescent="0.3">
      <c r="A41" t="str">
        <f>"260023213"</f>
        <v>260023213</v>
      </c>
      <c r="D41" t="str">
        <f>"CENTRE DE SANTE MEDICAL DEPARTEMENTAL"</f>
        <v>CENTRE DE SANTE MEDICAL DEPARTEMENTAL</v>
      </c>
      <c r="F41" t="str">
        <f>"AVENUE DE LYON"</f>
        <v>AVENUE DE LYON</v>
      </c>
      <c r="H41" t="str">
        <f>"26500"</f>
        <v>26500</v>
      </c>
      <c r="I41" t="str">
        <f>"BOURG LES VALENCE"</f>
        <v>BOURG LES VALENCE</v>
      </c>
      <c r="L41" s="1">
        <v>45007</v>
      </c>
      <c r="M41" t="str">
        <f t="shared" si="0"/>
        <v>124</v>
      </c>
      <c r="N41" t="str">
        <f t="shared" si="1"/>
        <v>Centre de Santé</v>
      </c>
      <c r="O41" t="str">
        <f>"02"</f>
        <v>02</v>
      </c>
      <c r="P41" t="str">
        <f>"Département"</f>
        <v>Département</v>
      </c>
      <c r="Q41" t="str">
        <f t="shared" si="10"/>
        <v>36</v>
      </c>
      <c r="R41" t="str">
        <f t="shared" si="11"/>
        <v>Tarifs conventionnels assurance maladie</v>
      </c>
      <c r="U41" t="str">
        <f>"260006861"</f>
        <v>260006861</v>
      </c>
    </row>
    <row r="42" spans="1:21" x14ac:dyDescent="0.3">
      <c r="A42" t="str">
        <f>"210014338"</f>
        <v>210014338</v>
      </c>
      <c r="B42" t="str">
        <f>"919 275 610 00039"</f>
        <v>919 275 610 00039</v>
      </c>
      <c r="D42" t="str">
        <f>"CENTRE ACCES VISION DIJON"</f>
        <v>CENTRE ACCES VISION DIJON</v>
      </c>
      <c r="F42" t="str">
        <f>"100 RUE DE MIRANDE"</f>
        <v>100 RUE DE MIRANDE</v>
      </c>
      <c r="H42" t="str">
        <f>"21000"</f>
        <v>21000</v>
      </c>
      <c r="I42" t="str">
        <f>"DIJON"</f>
        <v>DIJON</v>
      </c>
      <c r="L42" s="1">
        <v>45006</v>
      </c>
      <c r="M42" t="str">
        <f t="shared" si="0"/>
        <v>124</v>
      </c>
      <c r="N42" t="str">
        <f t="shared" si="1"/>
        <v>Centre de Santé</v>
      </c>
      <c r="O42" t="str">
        <f>"60"</f>
        <v>60</v>
      </c>
      <c r="P42" t="str">
        <f>"Association Loi 1901 non Reconnue d'Utilité Publique"</f>
        <v>Association Loi 1901 non Reconnue d'Utilité Publique</v>
      </c>
      <c r="Q42" t="str">
        <f t="shared" si="10"/>
        <v>36</v>
      </c>
      <c r="R42" t="str">
        <f t="shared" si="11"/>
        <v>Tarifs conventionnels assurance maladie</v>
      </c>
      <c r="U42" t="str">
        <f>"750071888"</f>
        <v>750071888</v>
      </c>
    </row>
    <row r="43" spans="1:21" x14ac:dyDescent="0.3">
      <c r="A43" t="str">
        <f>"580007078"</f>
        <v>580007078</v>
      </c>
      <c r="B43" t="str">
        <f>"215 803 032 00196"</f>
        <v>215 803 032 00196</v>
      </c>
      <c r="D43" t="str">
        <f>"CENTRE MUNICIPAL DE SANTE"</f>
        <v>CENTRE MUNICIPAL DE SANTE</v>
      </c>
      <c r="F43" t="str">
        <f>"46 BOULEVARD CAMILLE DAGONNEAU"</f>
        <v>46 BOULEVARD CAMILLE DAGONNEAU</v>
      </c>
      <c r="H43" t="str">
        <f>"58640"</f>
        <v>58640</v>
      </c>
      <c r="I43" t="str">
        <f>"VARENNES VAUZELLES"</f>
        <v>VARENNES VAUZELLES</v>
      </c>
      <c r="L43" s="1">
        <v>45006</v>
      </c>
      <c r="M43" t="str">
        <f t="shared" si="0"/>
        <v>124</v>
      </c>
      <c r="N43" t="str">
        <f t="shared" si="1"/>
        <v>Centre de Santé</v>
      </c>
      <c r="O43" t="str">
        <f>"03"</f>
        <v>03</v>
      </c>
      <c r="P43" t="str">
        <f>"Commune"</f>
        <v>Commune</v>
      </c>
      <c r="Q43" t="str">
        <f t="shared" si="10"/>
        <v>36</v>
      </c>
      <c r="R43" t="str">
        <f t="shared" si="11"/>
        <v>Tarifs conventionnels assurance maladie</v>
      </c>
      <c r="U43" t="str">
        <f>"580007060"</f>
        <v>580007060</v>
      </c>
    </row>
    <row r="44" spans="1:21" x14ac:dyDescent="0.3">
      <c r="A44" t="str">
        <f>"070008644"</f>
        <v>070008644</v>
      </c>
      <c r="B44" t="str">
        <f>"250 700 762 00017"</f>
        <v>250 700 762 00017</v>
      </c>
      <c r="D44" t="str">
        <f>"CENTRE DE SANTE DE NEYRAC LES BAINS"</f>
        <v>CENTRE DE SANTE DE NEYRAC LES BAINS</v>
      </c>
      <c r="F44" t="str">
        <f>"DOMAINE THERMAL"</f>
        <v>DOMAINE THERMAL</v>
      </c>
      <c r="H44" t="str">
        <f>"07380"</f>
        <v>07380</v>
      </c>
      <c r="I44" t="str">
        <f>"MEYRAS"</f>
        <v>MEYRAS</v>
      </c>
      <c r="J44" t="str">
        <f>"04 75 37 63 80 "</f>
        <v xml:space="preserve">04 75 37 63 80 </v>
      </c>
      <c r="L44" s="1">
        <v>45005</v>
      </c>
      <c r="M44" t="str">
        <f t="shared" si="0"/>
        <v>124</v>
      </c>
      <c r="N44" t="str">
        <f t="shared" si="1"/>
        <v>Centre de Santé</v>
      </c>
      <c r="O44" t="str">
        <f>"51"</f>
        <v>51</v>
      </c>
      <c r="P44" t="str">
        <f>"Syndicat"</f>
        <v>Syndicat</v>
      </c>
      <c r="Q44" t="str">
        <f t="shared" si="10"/>
        <v>36</v>
      </c>
      <c r="R44" t="str">
        <f t="shared" si="11"/>
        <v>Tarifs conventionnels assurance maladie</v>
      </c>
      <c r="U44" t="str">
        <f>"070008636"</f>
        <v>070008636</v>
      </c>
    </row>
    <row r="45" spans="1:21" x14ac:dyDescent="0.3">
      <c r="A45" t="str">
        <f>"310035274"</f>
        <v>310035274</v>
      </c>
      <c r="B45" t="str">
        <f>"911 851 525 00012"</f>
        <v>911 851 525 00012</v>
      </c>
      <c r="D45" t="str">
        <f>"CDS OPHTALMOLOGIQUE MEDICAL ORL BALMA"</f>
        <v>CDS OPHTALMOLOGIQUE MEDICAL ORL BALMA</v>
      </c>
      <c r="F45" t="str">
        <f>"2 CHEMIN DE GABARDIE"</f>
        <v>2 CHEMIN DE GABARDIE</v>
      </c>
      <c r="H45" t="str">
        <f>"31200"</f>
        <v>31200</v>
      </c>
      <c r="I45" t="str">
        <f>"TOULOUSE"</f>
        <v>TOULOUSE</v>
      </c>
      <c r="L45" s="1">
        <v>45005</v>
      </c>
      <c r="M45" t="str">
        <f t="shared" si="0"/>
        <v>124</v>
      </c>
      <c r="N45" t="str">
        <f t="shared" si="1"/>
        <v>Centre de Santé</v>
      </c>
      <c r="O45" t="str">
        <f>"60"</f>
        <v>60</v>
      </c>
      <c r="P45" t="str">
        <f>"Association Loi 1901 non Reconnue d'Utilité Publique"</f>
        <v>Association Loi 1901 non Reconnue d'Utilité Publique</v>
      </c>
      <c r="Q45" t="str">
        <f t="shared" si="10"/>
        <v>36</v>
      </c>
      <c r="R45" t="str">
        <f t="shared" si="11"/>
        <v>Tarifs conventionnels assurance maladie</v>
      </c>
      <c r="U45" t="str">
        <f>"310035266"</f>
        <v>310035266</v>
      </c>
    </row>
    <row r="46" spans="1:21" x14ac:dyDescent="0.3">
      <c r="A46" t="str">
        <f>"450023734"</f>
        <v>450023734</v>
      </c>
      <c r="D46" t="str">
        <f>"CENTRE DE SANTÉ SOMED ORLEANS"</f>
        <v>CENTRE DE SANTÉ SOMED ORLEANS</v>
      </c>
      <c r="F46" t="str">
        <f>"AVENUE PIERRE MENDES FRANCE"</f>
        <v>AVENUE PIERRE MENDES FRANCE</v>
      </c>
      <c r="H46" t="str">
        <f>"45140"</f>
        <v>45140</v>
      </c>
      <c r="I46" t="str">
        <f>"ST JEAN DE LA RUELLE"</f>
        <v>ST JEAN DE LA RUELLE</v>
      </c>
      <c r="L46" s="1">
        <v>45005</v>
      </c>
      <c r="M46" t="str">
        <f t="shared" si="0"/>
        <v>124</v>
      </c>
      <c r="N46" t="str">
        <f t="shared" si="1"/>
        <v>Centre de Santé</v>
      </c>
      <c r="O46" t="str">
        <f>"60"</f>
        <v>60</v>
      </c>
      <c r="P46" t="str">
        <f>"Association Loi 1901 non Reconnue d'Utilité Publique"</f>
        <v>Association Loi 1901 non Reconnue d'Utilité Publique</v>
      </c>
      <c r="Q46" t="str">
        <f t="shared" si="10"/>
        <v>36</v>
      </c>
      <c r="R46" t="str">
        <f t="shared" si="11"/>
        <v>Tarifs conventionnels assurance maladie</v>
      </c>
      <c r="U46" t="str">
        <f>"450023726"</f>
        <v>450023726</v>
      </c>
    </row>
    <row r="47" spans="1:21" x14ac:dyDescent="0.3">
      <c r="A47" t="str">
        <f>"540025822"</f>
        <v>540025822</v>
      </c>
      <c r="B47" t="str">
        <f>"878 311 208 00010"</f>
        <v>878 311 208 00010</v>
      </c>
      <c r="D47" t="str">
        <f>"CDS MEDICO DENTAIRE ST GEORGES"</f>
        <v>CDS MEDICO DENTAIRE ST GEORGES</v>
      </c>
      <c r="F47" t="str">
        <f>"21 RUE SAINT GEORGES"</f>
        <v>21 RUE SAINT GEORGES</v>
      </c>
      <c r="H47" t="str">
        <f>"54000"</f>
        <v>54000</v>
      </c>
      <c r="I47" t="str">
        <f>"NANCY"</f>
        <v>NANCY</v>
      </c>
      <c r="J47" t="str">
        <f>"03 57 75 53 70 "</f>
        <v xml:space="preserve">03 57 75 53 70 </v>
      </c>
      <c r="L47" s="1">
        <v>45005</v>
      </c>
      <c r="M47" t="str">
        <f t="shared" si="0"/>
        <v>124</v>
      </c>
      <c r="N47" t="str">
        <f t="shared" si="1"/>
        <v>Centre de Santé</v>
      </c>
      <c r="O47" t="str">
        <f>"60"</f>
        <v>60</v>
      </c>
      <c r="P47" t="str">
        <f>"Association Loi 1901 non Reconnue d'Utilité Publique"</f>
        <v>Association Loi 1901 non Reconnue d'Utilité Publique</v>
      </c>
      <c r="Q47" t="str">
        <f t="shared" si="10"/>
        <v>36</v>
      </c>
      <c r="R47" t="str">
        <f t="shared" si="11"/>
        <v>Tarifs conventionnels assurance maladie</v>
      </c>
      <c r="U47" t="str">
        <f>"540025814"</f>
        <v>540025814</v>
      </c>
    </row>
    <row r="48" spans="1:21" x14ac:dyDescent="0.3">
      <c r="A48" t="str">
        <f>"680023553"</f>
        <v>680023553</v>
      </c>
      <c r="B48" t="str">
        <f>"922 481 478 00019"</f>
        <v>922 481 478 00019</v>
      </c>
      <c r="D48" t="str">
        <f>"CENTRE DE SANTE EDENS"</f>
        <v>CENTRE DE SANTE EDENS</v>
      </c>
      <c r="F48" t="str">
        <f>"10 RUE DE SOULTZ"</f>
        <v>10 RUE DE SOULTZ</v>
      </c>
      <c r="H48" t="str">
        <f>"68200"</f>
        <v>68200</v>
      </c>
      <c r="I48" t="str">
        <f>"MULHOUSE"</f>
        <v>MULHOUSE</v>
      </c>
      <c r="J48" t="str">
        <f>"03 10 45 16 00 "</f>
        <v xml:space="preserve">03 10 45 16 00 </v>
      </c>
      <c r="L48" s="1">
        <v>45005</v>
      </c>
      <c r="M48" t="str">
        <f t="shared" si="0"/>
        <v>124</v>
      </c>
      <c r="N48" t="str">
        <f t="shared" si="1"/>
        <v>Centre de Santé</v>
      </c>
      <c r="O48" t="str">
        <f>"62"</f>
        <v>62</v>
      </c>
      <c r="P48" t="str">
        <f>"Association de Droit Local"</f>
        <v>Association de Droit Local</v>
      </c>
      <c r="Q48" t="str">
        <f t="shared" si="10"/>
        <v>36</v>
      </c>
      <c r="R48" t="str">
        <f t="shared" si="11"/>
        <v>Tarifs conventionnels assurance maladie</v>
      </c>
      <c r="U48" t="str">
        <f>"680023546"</f>
        <v>680023546</v>
      </c>
    </row>
    <row r="49" spans="1:21" x14ac:dyDescent="0.3">
      <c r="A49" t="str">
        <f>"770026870"</f>
        <v>770026870</v>
      </c>
      <c r="B49" t="str">
        <f>"922 426 994 00013"</f>
        <v>922 426 994 00013</v>
      </c>
      <c r="D49" t="str">
        <f>"CDS DENTAIRE ORTHOVY CHESSY"</f>
        <v>CDS DENTAIRE ORTHOVY CHESSY</v>
      </c>
      <c r="F49" t="str">
        <f>"3 RUE DE LA GALMY"</f>
        <v>3 RUE DE LA GALMY</v>
      </c>
      <c r="H49" t="str">
        <f>"77700"</f>
        <v>77700</v>
      </c>
      <c r="I49" t="str">
        <f>"CHESSY"</f>
        <v>CHESSY</v>
      </c>
      <c r="L49" s="1">
        <v>45000</v>
      </c>
      <c r="M49" t="str">
        <f t="shared" si="0"/>
        <v>124</v>
      </c>
      <c r="N49" t="str">
        <f t="shared" si="1"/>
        <v>Centre de Santé</v>
      </c>
      <c r="O49" t="str">
        <f>"60"</f>
        <v>60</v>
      </c>
      <c r="P49" t="str">
        <f>"Association Loi 1901 non Reconnue d'Utilité Publique"</f>
        <v>Association Loi 1901 non Reconnue d'Utilité Publique</v>
      </c>
      <c r="Q49" t="str">
        <f t="shared" si="10"/>
        <v>36</v>
      </c>
      <c r="R49" t="str">
        <f t="shared" si="11"/>
        <v>Tarifs conventionnels assurance maladie</v>
      </c>
      <c r="U49" t="str">
        <f>"770026862"</f>
        <v>770026862</v>
      </c>
    </row>
    <row r="50" spans="1:21" x14ac:dyDescent="0.3">
      <c r="A50" t="str">
        <f>"940030141"</f>
        <v>940030141</v>
      </c>
      <c r="B50" t="str">
        <f>"922 947 551 00011"</f>
        <v>922 947 551 00011</v>
      </c>
      <c r="D50" t="str">
        <f>"CDS CENTRE MED D'OPTHAL VILLEJUIF"</f>
        <v>CDS CENTRE MED D'OPTHAL VILLEJUIF</v>
      </c>
      <c r="F50" t="str">
        <f>"99 AVENUE DE PARIS"</f>
        <v>99 AVENUE DE PARIS</v>
      </c>
      <c r="H50" t="str">
        <f>"94800"</f>
        <v>94800</v>
      </c>
      <c r="I50" t="str">
        <f>"VILLEJUIF"</f>
        <v>VILLEJUIF</v>
      </c>
      <c r="J50" t="str">
        <f>"09 52 92 21 90 "</f>
        <v xml:space="preserve">09 52 92 21 90 </v>
      </c>
      <c r="L50" s="1">
        <v>45000</v>
      </c>
      <c r="M50" t="str">
        <f t="shared" si="0"/>
        <v>124</v>
      </c>
      <c r="N50" t="str">
        <f t="shared" si="1"/>
        <v>Centre de Santé</v>
      </c>
      <c r="O50" t="str">
        <f>"60"</f>
        <v>60</v>
      </c>
      <c r="P50" t="str">
        <f>"Association Loi 1901 non Reconnue d'Utilité Publique"</f>
        <v>Association Loi 1901 non Reconnue d'Utilité Publique</v>
      </c>
      <c r="Q50" t="str">
        <f t="shared" si="10"/>
        <v>36</v>
      </c>
      <c r="R50" t="str">
        <f t="shared" si="11"/>
        <v>Tarifs conventionnels assurance maladie</v>
      </c>
      <c r="U50" t="str">
        <f>"940030133"</f>
        <v>940030133</v>
      </c>
    </row>
    <row r="51" spans="1:21" x14ac:dyDescent="0.3">
      <c r="A51" t="str">
        <f>"880009451"</f>
        <v>880009451</v>
      </c>
      <c r="B51" t="str">
        <f>"917 861 213 00010"</f>
        <v>917 861 213 00010</v>
      </c>
      <c r="D51" t="str">
        <f>"CENTRE DE SANTE CLINIC ALPHA"</f>
        <v>CENTRE DE SANTE CLINIC ALPHA</v>
      </c>
      <c r="F51" t="str">
        <f>"4 RUE ROBERT BARLIER"</f>
        <v>4 RUE ROBERT BARLIER</v>
      </c>
      <c r="H51" t="str">
        <f>"88100"</f>
        <v>88100</v>
      </c>
      <c r="I51" t="str">
        <f>"ST DIE DES VOSGES"</f>
        <v>ST DIE DES VOSGES</v>
      </c>
      <c r="J51" t="str">
        <f>"03 72 58 04 03 "</f>
        <v xml:space="preserve">03 72 58 04 03 </v>
      </c>
      <c r="L51" s="1">
        <v>44999</v>
      </c>
      <c r="M51" t="str">
        <f t="shared" si="0"/>
        <v>124</v>
      </c>
      <c r="N51" t="str">
        <f t="shared" si="1"/>
        <v>Centre de Santé</v>
      </c>
      <c r="O51" t="str">
        <f>"73"</f>
        <v>73</v>
      </c>
      <c r="P51" t="str">
        <f>"Société Anonyme (S.A.)"</f>
        <v>Société Anonyme (S.A.)</v>
      </c>
      <c r="Q51" t="str">
        <f t="shared" si="10"/>
        <v>36</v>
      </c>
      <c r="R51" t="str">
        <f t="shared" si="11"/>
        <v>Tarifs conventionnels assurance maladie</v>
      </c>
      <c r="U51" t="str">
        <f>"880009444"</f>
        <v>880009444</v>
      </c>
    </row>
    <row r="52" spans="1:21" x14ac:dyDescent="0.3">
      <c r="A52" t="str">
        <f>"920040037"</f>
        <v>920040037</v>
      </c>
      <c r="B52" t="str">
        <f>"918 972 480 00019"</f>
        <v>918 972 480 00019</v>
      </c>
      <c r="D52" t="str">
        <f>"CDS CENTRE DENTAIRE COLOMBES"</f>
        <v>CDS CENTRE DENTAIRE COLOMBES</v>
      </c>
      <c r="F52" t="str">
        <f>"83 BOULEVARD CHARLES DE GAULLE"</f>
        <v>83 BOULEVARD CHARLES DE GAULLE</v>
      </c>
      <c r="H52" t="str">
        <f>"92700"</f>
        <v>92700</v>
      </c>
      <c r="I52" t="str">
        <f>"COLOMBES"</f>
        <v>COLOMBES</v>
      </c>
      <c r="J52" t="str">
        <f>"01 47 85 00 00 "</f>
        <v xml:space="preserve">01 47 85 00 00 </v>
      </c>
      <c r="L52" s="1">
        <v>44999</v>
      </c>
      <c r="M52" t="str">
        <f t="shared" si="0"/>
        <v>124</v>
      </c>
      <c r="N52" t="str">
        <f t="shared" si="1"/>
        <v>Centre de Santé</v>
      </c>
      <c r="O52" t="str">
        <f>"60"</f>
        <v>60</v>
      </c>
      <c r="P52" t="str">
        <f>"Association Loi 1901 non Reconnue d'Utilité Publique"</f>
        <v>Association Loi 1901 non Reconnue d'Utilité Publique</v>
      </c>
      <c r="Q52" t="str">
        <f t="shared" si="10"/>
        <v>36</v>
      </c>
      <c r="R52" t="str">
        <f t="shared" si="11"/>
        <v>Tarifs conventionnels assurance maladie</v>
      </c>
      <c r="U52" t="str">
        <f>"920040029"</f>
        <v>920040029</v>
      </c>
    </row>
    <row r="53" spans="1:21" x14ac:dyDescent="0.3">
      <c r="A53" t="str">
        <f>"290038892"</f>
        <v>290038892</v>
      </c>
      <c r="B53" t="str">
        <f>"915 203 277 00016"</f>
        <v>915 203 277 00016</v>
      </c>
      <c r="D53" t="str">
        <f>"CENTRE ACCES VISION BREST"</f>
        <v>CENTRE ACCES VISION BREST</v>
      </c>
      <c r="F53" t="str">
        <f>"34 RUE MONGE"</f>
        <v>34 RUE MONGE</v>
      </c>
      <c r="H53" t="str">
        <f>"29200"</f>
        <v>29200</v>
      </c>
      <c r="I53" t="str">
        <f>"BREST"</f>
        <v>BREST</v>
      </c>
      <c r="J53" t="str">
        <f>"06 99 25 26 05 "</f>
        <v xml:space="preserve">06 99 25 26 05 </v>
      </c>
      <c r="L53" s="1">
        <v>44998</v>
      </c>
      <c r="M53" t="str">
        <f t="shared" si="0"/>
        <v>124</v>
      </c>
      <c r="N53" t="str">
        <f t="shared" si="1"/>
        <v>Centre de Santé</v>
      </c>
      <c r="O53" t="str">
        <f>"60"</f>
        <v>60</v>
      </c>
      <c r="P53" t="str">
        <f>"Association Loi 1901 non Reconnue d'Utilité Publique"</f>
        <v>Association Loi 1901 non Reconnue d'Utilité Publique</v>
      </c>
      <c r="Q53" t="str">
        <f t="shared" si="10"/>
        <v>36</v>
      </c>
      <c r="R53" t="str">
        <f t="shared" si="11"/>
        <v>Tarifs conventionnels assurance maladie</v>
      </c>
      <c r="U53" t="str">
        <f>"940029895"</f>
        <v>940029895</v>
      </c>
    </row>
    <row r="54" spans="1:21" x14ac:dyDescent="0.3">
      <c r="A54" t="str">
        <f>"770026672"</f>
        <v>770026672</v>
      </c>
      <c r="B54" t="str">
        <f>"918 883 513 00015"</f>
        <v>918 883 513 00015</v>
      </c>
      <c r="D54" t="str">
        <f>"CDS OPHTALMOLOGIQUE MARNE LA VALLEE"</f>
        <v>CDS OPHTALMOLOGIQUE MARNE LA VALLEE</v>
      </c>
      <c r="F54" t="str">
        <f>"1 COUR DE LA GONDOIRE"</f>
        <v>1 COUR DE LA GONDOIRE</v>
      </c>
      <c r="H54" t="str">
        <f>"77600"</f>
        <v>77600</v>
      </c>
      <c r="I54" t="str">
        <f>"JOSSIGNY"</f>
        <v>JOSSIGNY</v>
      </c>
      <c r="J54" t="str">
        <f>"01 85 42 00 99 "</f>
        <v xml:space="preserve">01 85 42 00 99 </v>
      </c>
      <c r="L54" s="1">
        <v>44998</v>
      </c>
      <c r="M54" t="str">
        <f t="shared" si="0"/>
        <v>124</v>
      </c>
      <c r="N54" t="str">
        <f t="shared" si="1"/>
        <v>Centre de Santé</v>
      </c>
      <c r="O54" t="str">
        <f>"60"</f>
        <v>60</v>
      </c>
      <c r="P54" t="str">
        <f>"Association Loi 1901 non Reconnue d'Utilité Publique"</f>
        <v>Association Loi 1901 non Reconnue d'Utilité Publique</v>
      </c>
      <c r="Q54" t="str">
        <f t="shared" si="10"/>
        <v>36</v>
      </c>
      <c r="R54" t="str">
        <f t="shared" si="11"/>
        <v>Tarifs conventionnels assurance maladie</v>
      </c>
      <c r="U54" t="str">
        <f>"940029911"</f>
        <v>940029911</v>
      </c>
    </row>
    <row r="55" spans="1:21" x14ac:dyDescent="0.3">
      <c r="A55" t="str">
        <f>"600017198"</f>
        <v>600017198</v>
      </c>
      <c r="B55" t="str">
        <f>"914 112 784 00022"</f>
        <v>914 112 784 00022</v>
      </c>
      <c r="D55" t="str">
        <f>"CSD SENLIS"</f>
        <v>CSD SENLIS</v>
      </c>
      <c r="E55" t="str">
        <f>"CENTRE CIAL VILLEVERT"</f>
        <v>CENTRE CIAL VILLEVERT</v>
      </c>
      <c r="F55" t="str">
        <f>"AVENUE DU POTEAU"</f>
        <v>AVENUE DU POTEAU</v>
      </c>
      <c r="H55" t="str">
        <f>"60300"</f>
        <v>60300</v>
      </c>
      <c r="I55" t="str">
        <f>"SENLIS"</f>
        <v>SENLIS</v>
      </c>
      <c r="L55" s="1">
        <v>44995</v>
      </c>
      <c r="M55" t="str">
        <f t="shared" si="0"/>
        <v>124</v>
      </c>
      <c r="N55" t="str">
        <f t="shared" si="1"/>
        <v>Centre de Santé</v>
      </c>
      <c r="O55" t="str">
        <f>"61"</f>
        <v>61</v>
      </c>
      <c r="P55" t="str">
        <f>"Association Loi 1901 Reconnue d'Utilité Publique"</f>
        <v>Association Loi 1901 Reconnue d'Utilité Publique</v>
      </c>
      <c r="Q55" t="str">
        <f t="shared" si="10"/>
        <v>36</v>
      </c>
      <c r="R55" t="str">
        <f t="shared" si="11"/>
        <v>Tarifs conventionnels assurance maladie</v>
      </c>
      <c r="U55" t="str">
        <f>"600017180"</f>
        <v>600017180</v>
      </c>
    </row>
    <row r="56" spans="1:21" x14ac:dyDescent="0.3">
      <c r="A56" t="str">
        <f>"940030067"</f>
        <v>940030067</v>
      </c>
      <c r="B56" t="str">
        <f>"920 288 149 00015"</f>
        <v>920 288 149 00015</v>
      </c>
      <c r="D56" t="str">
        <f>"CDS OGAD"</f>
        <v>CDS OGAD</v>
      </c>
      <c r="F56" t="str">
        <f>"140 AVENUE GABRIEL PERI"</f>
        <v>140 AVENUE GABRIEL PERI</v>
      </c>
      <c r="H56" t="str">
        <f>"94170"</f>
        <v>94170</v>
      </c>
      <c r="I56" t="str">
        <f>"LE PERREUX SUR MARNE"</f>
        <v>LE PERREUX SUR MARNE</v>
      </c>
      <c r="J56" t="str">
        <f>"01 80 91 30 60 "</f>
        <v xml:space="preserve">01 80 91 30 60 </v>
      </c>
      <c r="L56" s="1">
        <v>44993</v>
      </c>
      <c r="M56" t="str">
        <f t="shared" si="0"/>
        <v>124</v>
      </c>
      <c r="N56" t="str">
        <f t="shared" si="1"/>
        <v>Centre de Santé</v>
      </c>
      <c r="O56" t="str">
        <f>"60"</f>
        <v>60</v>
      </c>
      <c r="P56" t="str">
        <f>"Association Loi 1901 non Reconnue d'Utilité Publique"</f>
        <v>Association Loi 1901 non Reconnue d'Utilité Publique</v>
      </c>
      <c r="Q56" t="str">
        <f t="shared" si="10"/>
        <v>36</v>
      </c>
      <c r="R56" t="str">
        <f t="shared" si="11"/>
        <v>Tarifs conventionnels assurance maladie</v>
      </c>
      <c r="U56" t="str">
        <f>"940030059"</f>
        <v>940030059</v>
      </c>
    </row>
    <row r="57" spans="1:21" x14ac:dyDescent="0.3">
      <c r="A57" t="str">
        <f>"580007086"</f>
        <v>580007086</v>
      </c>
      <c r="B57" t="str">
        <f>"225 800 010 00012"</f>
        <v>225 800 010 00012</v>
      </c>
      <c r="D57" t="str">
        <f>"CENTRE TERRITORIAL DE SANTE DE LORMES"</f>
        <v>CENTRE TERRITORIAL DE SANTE DE LORMES</v>
      </c>
      <c r="F57" t="str">
        <f>"8 RUE DU PANORAMA"</f>
        <v>8 RUE DU PANORAMA</v>
      </c>
      <c r="H57" t="str">
        <f>"58140"</f>
        <v>58140</v>
      </c>
      <c r="I57" t="str">
        <f>"LORMES"</f>
        <v>LORMES</v>
      </c>
      <c r="L57" s="1">
        <v>44992</v>
      </c>
      <c r="M57" t="str">
        <f t="shared" si="0"/>
        <v>124</v>
      </c>
      <c r="N57" t="str">
        <f t="shared" si="1"/>
        <v>Centre de Santé</v>
      </c>
      <c r="O57" t="str">
        <f>"02"</f>
        <v>02</v>
      </c>
      <c r="P57" t="str">
        <f>"Département"</f>
        <v>Département</v>
      </c>
      <c r="Q57" t="str">
        <f t="shared" si="10"/>
        <v>36</v>
      </c>
      <c r="R57" t="str">
        <f t="shared" si="11"/>
        <v>Tarifs conventionnels assurance maladie</v>
      </c>
      <c r="U57" t="str">
        <f>"580970895"</f>
        <v>580970895</v>
      </c>
    </row>
    <row r="58" spans="1:21" x14ac:dyDescent="0.3">
      <c r="A58" t="str">
        <f>"310034897"</f>
        <v>310034897</v>
      </c>
      <c r="B58" t="str">
        <f>"213 104 516 00017"</f>
        <v>213 104 516 00017</v>
      </c>
      <c r="D58" t="str">
        <f>"CENTRE MUNICIPAL DE SANTÉ"</f>
        <v>CENTRE MUNICIPAL DE SANTÉ</v>
      </c>
      <c r="F58" t="str">
        <f>"20 RUE CLMENENCE ISAURE"</f>
        <v>20 RUE CLMENENCE ISAURE</v>
      </c>
      <c r="H58" t="str">
        <f>"31250"</f>
        <v>31250</v>
      </c>
      <c r="I58" t="str">
        <f>"REVEL"</f>
        <v>REVEL</v>
      </c>
      <c r="J58" t="str">
        <f>"05 32 28 03 87 "</f>
        <v xml:space="preserve">05 32 28 03 87 </v>
      </c>
      <c r="L58" s="1">
        <v>44991</v>
      </c>
      <c r="M58" t="str">
        <f t="shared" si="0"/>
        <v>124</v>
      </c>
      <c r="N58" t="str">
        <f t="shared" si="1"/>
        <v>Centre de Santé</v>
      </c>
      <c r="O58" t="str">
        <f>"03"</f>
        <v>03</v>
      </c>
      <c r="P58" t="str">
        <f>"Commune"</f>
        <v>Commune</v>
      </c>
      <c r="Q58" t="str">
        <f t="shared" si="10"/>
        <v>36</v>
      </c>
      <c r="R58" t="str">
        <f t="shared" si="11"/>
        <v>Tarifs conventionnels assurance maladie</v>
      </c>
      <c r="U58" t="str">
        <f>"310022686"</f>
        <v>310022686</v>
      </c>
    </row>
    <row r="59" spans="1:21" x14ac:dyDescent="0.3">
      <c r="A59" t="str">
        <f>"630015865"</f>
        <v>630015865</v>
      </c>
      <c r="B59" t="str">
        <f>"885 311 829 00026"</f>
        <v>885 311 829 00026</v>
      </c>
      <c r="D59" t="str">
        <f>"CENTRE DE SANTE OPHTALMO DE GAULLE"</f>
        <v>CENTRE DE SANTE OPHTALMO DE GAULLE</v>
      </c>
      <c r="F59" t="str">
        <f>"26 BOULEVARD CHARLES DE GAULLE"</f>
        <v>26 BOULEVARD CHARLES DE GAULLE</v>
      </c>
      <c r="H59" t="str">
        <f>"63000"</f>
        <v>63000</v>
      </c>
      <c r="I59" t="str">
        <f>"CLERMONT FERRAND"</f>
        <v>CLERMONT FERRAND</v>
      </c>
      <c r="J59" t="str">
        <f>"04 43 55 43 10 "</f>
        <v xml:space="preserve">04 43 55 43 10 </v>
      </c>
      <c r="L59" s="1">
        <v>44991</v>
      </c>
      <c r="M59" t="str">
        <f t="shared" si="0"/>
        <v>124</v>
      </c>
      <c r="N59" t="str">
        <f t="shared" si="1"/>
        <v>Centre de Santé</v>
      </c>
      <c r="O59" t="str">
        <f t="shared" ref="O59:O65" si="12">"60"</f>
        <v>60</v>
      </c>
      <c r="P59" t="str">
        <f t="shared" ref="P59:P65" si="13">"Association Loi 1901 non Reconnue d'Utilité Publique"</f>
        <v>Association Loi 1901 non Reconnue d'Utilité Publique</v>
      </c>
      <c r="Q59" t="str">
        <f t="shared" si="10"/>
        <v>36</v>
      </c>
      <c r="R59" t="str">
        <f t="shared" si="11"/>
        <v>Tarifs conventionnels assurance maladie</v>
      </c>
      <c r="U59" t="str">
        <f>"630015857"</f>
        <v>630015857</v>
      </c>
    </row>
    <row r="60" spans="1:21" x14ac:dyDescent="0.3">
      <c r="A60" t="str">
        <f>"780029575"</f>
        <v>780029575</v>
      </c>
      <c r="B60" t="str">
        <f>"918 507 435 00017"</f>
        <v>918 507 435 00017</v>
      </c>
      <c r="D60" t="str">
        <f>"CDS MEDICO DENTAIRE BLAISE PASCAL"</f>
        <v>CDS MEDICO DENTAIRE BLAISE PASCAL</v>
      </c>
      <c r="F60" t="str">
        <f>"1 RUE BLAISE PASCAL"</f>
        <v>1 RUE BLAISE PASCAL</v>
      </c>
      <c r="H60" t="str">
        <f>"78190"</f>
        <v>78190</v>
      </c>
      <c r="I60" t="str">
        <f>"TRAPPES"</f>
        <v>TRAPPES</v>
      </c>
      <c r="J60" t="str">
        <f>"01 85 76 11 55 "</f>
        <v xml:space="preserve">01 85 76 11 55 </v>
      </c>
      <c r="L60" s="1">
        <v>44991</v>
      </c>
      <c r="M60" t="str">
        <f t="shared" si="0"/>
        <v>124</v>
      </c>
      <c r="N60" t="str">
        <f t="shared" si="1"/>
        <v>Centre de Santé</v>
      </c>
      <c r="O60" t="str">
        <f t="shared" si="12"/>
        <v>60</v>
      </c>
      <c r="P60" t="str">
        <f t="shared" si="13"/>
        <v>Association Loi 1901 non Reconnue d'Utilité Publique</v>
      </c>
      <c r="Q60" t="str">
        <f t="shared" si="10"/>
        <v>36</v>
      </c>
      <c r="R60" t="str">
        <f t="shared" si="11"/>
        <v>Tarifs conventionnels assurance maladie</v>
      </c>
      <c r="U60" t="str">
        <f>"780029567"</f>
        <v>780029567</v>
      </c>
    </row>
    <row r="61" spans="1:21" x14ac:dyDescent="0.3">
      <c r="A61" t="str">
        <f>"920040102"</f>
        <v>920040102</v>
      </c>
      <c r="B61" t="str">
        <f>"922 304 985 00018"</f>
        <v>922 304 985 00018</v>
      </c>
      <c r="D61" t="str">
        <f>"CDS CENTRE DENTAIRE DE BAGNEUX"</f>
        <v>CDS CENTRE DENTAIRE DE BAGNEUX</v>
      </c>
      <c r="F61" t="str">
        <f>"236 AVENUE ARISTIDE BRIAND"</f>
        <v>236 AVENUE ARISTIDE BRIAND</v>
      </c>
      <c r="H61" t="str">
        <f>"92220"</f>
        <v>92220</v>
      </c>
      <c r="I61" t="str">
        <f>"BAGNEUX"</f>
        <v>BAGNEUX</v>
      </c>
      <c r="J61" t="str">
        <f>"01 84 74 29 29 "</f>
        <v xml:space="preserve">01 84 74 29 29 </v>
      </c>
      <c r="L61" s="1">
        <v>44991</v>
      </c>
      <c r="M61" t="str">
        <f t="shared" si="0"/>
        <v>124</v>
      </c>
      <c r="N61" t="str">
        <f t="shared" si="1"/>
        <v>Centre de Santé</v>
      </c>
      <c r="O61" t="str">
        <f t="shared" si="12"/>
        <v>60</v>
      </c>
      <c r="P61" t="str">
        <f t="shared" si="13"/>
        <v>Association Loi 1901 non Reconnue d'Utilité Publique</v>
      </c>
      <c r="Q61" t="str">
        <f t="shared" si="10"/>
        <v>36</v>
      </c>
      <c r="R61" t="str">
        <f t="shared" si="11"/>
        <v>Tarifs conventionnels assurance maladie</v>
      </c>
      <c r="U61" t="str">
        <f>"920040094"</f>
        <v>920040094</v>
      </c>
    </row>
    <row r="62" spans="1:21" x14ac:dyDescent="0.3">
      <c r="A62" t="str">
        <f>"950046771"</f>
        <v>950046771</v>
      </c>
      <c r="B62" t="str">
        <f>"907 722 888 00019"</f>
        <v>907 722 888 00019</v>
      </c>
      <c r="D62" t="str">
        <f>"CDS DENTAIRE VERTUO SANNOIS"</f>
        <v>CDS DENTAIRE VERTUO SANNOIS</v>
      </c>
      <c r="E62" t="str">
        <f>"CC CARREFOUR"</f>
        <v>CC CARREFOUR</v>
      </c>
      <c r="F62" t="str">
        <f>"3 RUE DE LA HORIONNE"</f>
        <v>3 RUE DE LA HORIONNE</v>
      </c>
      <c r="H62" t="str">
        <f>"95110"</f>
        <v>95110</v>
      </c>
      <c r="I62" t="str">
        <f>"SANNOIS"</f>
        <v>SANNOIS</v>
      </c>
      <c r="J62" t="str">
        <f>"01 85 11 00 44 "</f>
        <v xml:space="preserve">01 85 11 00 44 </v>
      </c>
      <c r="L62" s="1">
        <v>44991</v>
      </c>
      <c r="M62" t="str">
        <f t="shared" si="0"/>
        <v>124</v>
      </c>
      <c r="N62" t="str">
        <f t="shared" si="1"/>
        <v>Centre de Santé</v>
      </c>
      <c r="O62" t="str">
        <f t="shared" si="12"/>
        <v>60</v>
      </c>
      <c r="P62" t="str">
        <f t="shared" si="13"/>
        <v>Association Loi 1901 non Reconnue d'Utilité Publique</v>
      </c>
      <c r="Q62" t="str">
        <f t="shared" si="10"/>
        <v>36</v>
      </c>
      <c r="R62" t="str">
        <f t="shared" si="11"/>
        <v>Tarifs conventionnels assurance maladie</v>
      </c>
      <c r="U62" t="str">
        <f>"950046763"</f>
        <v>950046763</v>
      </c>
    </row>
    <row r="63" spans="1:21" x14ac:dyDescent="0.3">
      <c r="A63" t="str">
        <f>"950047548"</f>
        <v>950047548</v>
      </c>
      <c r="B63" t="str">
        <f>"920 013 679 00013"</f>
        <v>920 013 679 00013</v>
      </c>
      <c r="D63" t="str">
        <f>"CDS CENTRE MEDICO DENTAIRE LA FRETTE"</f>
        <v>CDS CENTRE MEDICO DENTAIRE LA FRETTE</v>
      </c>
      <c r="F63" t="str">
        <f>"45 RUE DE LA GARE"</f>
        <v>45 RUE DE LA GARE</v>
      </c>
      <c r="H63" t="str">
        <f>"95530"</f>
        <v>95530</v>
      </c>
      <c r="I63" t="str">
        <f>"LA FRETTE SUR SEINE"</f>
        <v>LA FRETTE SUR SEINE</v>
      </c>
      <c r="J63" t="str">
        <f>"01 87 12 95 95 "</f>
        <v xml:space="preserve">01 87 12 95 95 </v>
      </c>
      <c r="L63" s="1">
        <v>44991</v>
      </c>
      <c r="M63" t="str">
        <f t="shared" si="0"/>
        <v>124</v>
      </c>
      <c r="N63" t="str">
        <f t="shared" si="1"/>
        <v>Centre de Santé</v>
      </c>
      <c r="O63" t="str">
        <f t="shared" si="12"/>
        <v>60</v>
      </c>
      <c r="P63" t="str">
        <f t="shared" si="13"/>
        <v>Association Loi 1901 non Reconnue d'Utilité Publique</v>
      </c>
      <c r="Q63" t="str">
        <f t="shared" si="10"/>
        <v>36</v>
      </c>
      <c r="R63" t="str">
        <f t="shared" si="11"/>
        <v>Tarifs conventionnels assurance maladie</v>
      </c>
      <c r="U63" t="str">
        <f>"950047530"</f>
        <v>950047530</v>
      </c>
    </row>
    <row r="64" spans="1:21" x14ac:dyDescent="0.3">
      <c r="A64" t="str">
        <f>"140034240"</f>
        <v>140034240</v>
      </c>
      <c r="B64" t="str">
        <f>"918 164 815 00014"</f>
        <v>918 164 815 00014</v>
      </c>
      <c r="D64" t="str">
        <f>"CENTRE DENTAIRE DEAUVILLE"</f>
        <v>CENTRE DENTAIRE DEAUVILLE</v>
      </c>
      <c r="E64" t="str">
        <f>"IMMEUBLE LE GALAXY"</f>
        <v>IMMEUBLE LE GALAXY</v>
      </c>
      <c r="F64" t="str">
        <f>"PLACE DES CRÉATEURS"</f>
        <v>PLACE DES CRÉATEURS</v>
      </c>
      <c r="H64" t="str">
        <f>"14800"</f>
        <v>14800</v>
      </c>
      <c r="I64" t="str">
        <f>"DEAUVILLE"</f>
        <v>DEAUVILLE</v>
      </c>
      <c r="J64" t="str">
        <f>"02 31 81 48 91 "</f>
        <v xml:space="preserve">02 31 81 48 91 </v>
      </c>
      <c r="L64" s="1">
        <v>44988</v>
      </c>
      <c r="M64" t="str">
        <f t="shared" si="0"/>
        <v>124</v>
      </c>
      <c r="N64" t="str">
        <f t="shared" si="1"/>
        <v>Centre de Santé</v>
      </c>
      <c r="O64" t="str">
        <f t="shared" si="12"/>
        <v>60</v>
      </c>
      <c r="P64" t="str">
        <f t="shared" si="13"/>
        <v>Association Loi 1901 non Reconnue d'Utilité Publique</v>
      </c>
      <c r="Q64" t="str">
        <f t="shared" si="10"/>
        <v>36</v>
      </c>
      <c r="R64" t="str">
        <f t="shared" si="11"/>
        <v>Tarifs conventionnels assurance maladie</v>
      </c>
      <c r="U64" t="str">
        <f>"140034232"</f>
        <v>140034232</v>
      </c>
    </row>
    <row r="65" spans="1:21" x14ac:dyDescent="0.3">
      <c r="A65" t="str">
        <f>"010012888"</f>
        <v>010012888</v>
      </c>
      <c r="B65" t="str">
        <f>"893 686 329 00101"</f>
        <v>893 686 329 00101</v>
      </c>
      <c r="D65" t="str">
        <f>"CENTRE DE SANTE IMAGERIE MED BELLEY"</f>
        <v>CENTRE DE SANTE IMAGERIE MED BELLEY</v>
      </c>
      <c r="F65" t="str">
        <f>"9 BOULEVARD DU MAIL"</f>
        <v>9 BOULEVARD DU MAIL</v>
      </c>
      <c r="H65" t="str">
        <f>"01300"</f>
        <v>01300</v>
      </c>
      <c r="I65" t="str">
        <f>"BELLEY"</f>
        <v>BELLEY</v>
      </c>
      <c r="J65" t="str">
        <f>"04 79 81 24 98 "</f>
        <v xml:space="preserve">04 79 81 24 98 </v>
      </c>
      <c r="L65" s="1">
        <v>44986</v>
      </c>
      <c r="M65" t="str">
        <f t="shared" si="0"/>
        <v>124</v>
      </c>
      <c r="N65" t="str">
        <f t="shared" si="1"/>
        <v>Centre de Santé</v>
      </c>
      <c r="O65" t="str">
        <f t="shared" si="12"/>
        <v>60</v>
      </c>
      <c r="P65" t="str">
        <f t="shared" si="13"/>
        <v>Association Loi 1901 non Reconnue d'Utilité Publique</v>
      </c>
      <c r="Q65" t="str">
        <f t="shared" si="10"/>
        <v>36</v>
      </c>
      <c r="R65" t="str">
        <f t="shared" si="11"/>
        <v>Tarifs conventionnels assurance maladie</v>
      </c>
      <c r="U65" t="str">
        <f>"750067472"</f>
        <v>750067472</v>
      </c>
    </row>
    <row r="66" spans="1:21" x14ac:dyDescent="0.3">
      <c r="A66" t="str">
        <f>"130053556"</f>
        <v>130053556</v>
      </c>
      <c r="B66" t="str">
        <f>"911 492 460 00017"</f>
        <v>911 492 460 00017</v>
      </c>
      <c r="D66" t="str">
        <f>"CENTRE MEDICAL NATIONAL"</f>
        <v>CENTRE MEDICAL NATIONAL</v>
      </c>
      <c r="F66" t="str">
        <f>"268 BOULEVARD NATIONAL"</f>
        <v>268 BOULEVARD NATIONAL</v>
      </c>
      <c r="H66" t="str">
        <f>"13003"</f>
        <v>13003</v>
      </c>
      <c r="I66" t="str">
        <f>"MARSEILLE"</f>
        <v>MARSEILLE</v>
      </c>
      <c r="L66" s="1">
        <v>44986</v>
      </c>
      <c r="M66" t="str">
        <f t="shared" ref="M66:M129" si="14">"124"</f>
        <v>124</v>
      </c>
      <c r="N66" t="str">
        <f t="shared" ref="N66:N129" si="15">"Centre de Santé"</f>
        <v>Centre de Santé</v>
      </c>
      <c r="O66" t="str">
        <f>"61"</f>
        <v>61</v>
      </c>
      <c r="P66" t="str">
        <f>"Association Loi 1901 Reconnue d'Utilité Publique"</f>
        <v>Association Loi 1901 Reconnue d'Utilité Publique</v>
      </c>
      <c r="Q66" t="str">
        <f t="shared" si="10"/>
        <v>36</v>
      </c>
      <c r="R66" t="str">
        <f t="shared" si="11"/>
        <v>Tarifs conventionnels assurance maladie</v>
      </c>
      <c r="U66" t="str">
        <f>"130053549"</f>
        <v>130053549</v>
      </c>
    </row>
    <row r="67" spans="1:21" x14ac:dyDescent="0.3">
      <c r="A67" t="str">
        <f>"180010613"</f>
        <v>180010613</v>
      </c>
      <c r="B67" t="str">
        <f>"261 800 239 00012"</f>
        <v>261 800 239 00012</v>
      </c>
      <c r="D67" t="str">
        <f>"CENTRE CONSULT EXTERNES LEO MERIGOT"</f>
        <v>CENTRE CONSULT EXTERNES LEO MERIGOT</v>
      </c>
      <c r="F67" t="str">
        <f>"33 RUE LEO MERIGOT"</f>
        <v>33 RUE LEO MERIGOT</v>
      </c>
      <c r="H67" t="str">
        <f>"18100"</f>
        <v>18100</v>
      </c>
      <c r="I67" t="str">
        <f>"VIERZON"</f>
        <v>VIERZON</v>
      </c>
      <c r="L67" s="1">
        <v>44986</v>
      </c>
      <c r="M67" t="str">
        <f t="shared" si="14"/>
        <v>124</v>
      </c>
      <c r="N67" t="str">
        <f t="shared" si="15"/>
        <v>Centre de Santé</v>
      </c>
      <c r="O67" t="str">
        <f>"13"</f>
        <v>13</v>
      </c>
      <c r="P67" t="str">
        <f>"Etablissement Public Communal d'Hospitalisation"</f>
        <v>Etablissement Public Communal d'Hospitalisation</v>
      </c>
      <c r="Q67" t="str">
        <f>"99"</f>
        <v>99</v>
      </c>
      <c r="R67" t="str">
        <f>"Indéterminé"</f>
        <v>Indéterminé</v>
      </c>
      <c r="U67" t="str">
        <f>"180000051"</f>
        <v>180000051</v>
      </c>
    </row>
    <row r="68" spans="1:21" x14ac:dyDescent="0.3">
      <c r="A68" t="str">
        <f>"420018301"</f>
        <v>420018301</v>
      </c>
      <c r="B68" t="str">
        <f>"914 167 945 00015"</f>
        <v>914 167 945 00015</v>
      </c>
      <c r="D68" t="str">
        <f>"CENTRE DE SANTE MEDICO-DENT ST-ETIENNE"</f>
        <v>CENTRE DE SANTE MEDICO-DENT ST-ETIENNE</v>
      </c>
      <c r="F68" t="str">
        <f>"1 RUE DU ONZE NOVEMBRE"</f>
        <v>1 RUE DU ONZE NOVEMBRE</v>
      </c>
      <c r="H68" t="str">
        <f>"42000"</f>
        <v>42000</v>
      </c>
      <c r="I68" t="str">
        <f>"ST ETIENNE"</f>
        <v>ST ETIENNE</v>
      </c>
      <c r="L68" s="1">
        <v>44986</v>
      </c>
      <c r="M68" t="str">
        <f t="shared" si="14"/>
        <v>124</v>
      </c>
      <c r="N68" t="str">
        <f t="shared" si="15"/>
        <v>Centre de Santé</v>
      </c>
      <c r="O68" t="str">
        <f>"60"</f>
        <v>60</v>
      </c>
      <c r="P68" t="str">
        <f>"Association Loi 1901 non Reconnue d'Utilité Publique"</f>
        <v>Association Loi 1901 non Reconnue d'Utilité Publique</v>
      </c>
      <c r="Q68" t="str">
        <f t="shared" ref="Q68:Q99" si="16">"36"</f>
        <v>36</v>
      </c>
      <c r="R68" t="str">
        <f t="shared" ref="R68:R99" si="17">"Tarifs conventionnels assurance maladie"</f>
        <v>Tarifs conventionnels assurance maladie</v>
      </c>
      <c r="U68" t="str">
        <f>"420018293"</f>
        <v>420018293</v>
      </c>
    </row>
    <row r="69" spans="1:21" x14ac:dyDescent="0.3">
      <c r="A69" t="str">
        <f>"750069767"</f>
        <v>750069767</v>
      </c>
      <c r="B69" t="str">
        <f>"902 117 233 00012"</f>
        <v>902 117 233 00012</v>
      </c>
      <c r="D69" t="str">
        <f>"CDS FLANDRE"</f>
        <v>CDS FLANDRE</v>
      </c>
      <c r="F69" t="str">
        <f>"66 AVENUE DE FLANDRE"</f>
        <v>66 AVENUE DE FLANDRE</v>
      </c>
      <c r="H69" t="str">
        <f>"75019"</f>
        <v>75019</v>
      </c>
      <c r="I69" t="str">
        <f>"PARIS"</f>
        <v>PARIS</v>
      </c>
      <c r="J69" t="str">
        <f>"01 47 55 55 55 "</f>
        <v xml:space="preserve">01 47 55 55 55 </v>
      </c>
      <c r="L69" s="1">
        <v>44986</v>
      </c>
      <c r="M69" t="str">
        <f t="shared" si="14"/>
        <v>124</v>
      </c>
      <c r="N69" t="str">
        <f t="shared" si="15"/>
        <v>Centre de Santé</v>
      </c>
      <c r="O69" t="str">
        <f>"60"</f>
        <v>60</v>
      </c>
      <c r="P69" t="str">
        <f>"Association Loi 1901 non Reconnue d'Utilité Publique"</f>
        <v>Association Loi 1901 non Reconnue d'Utilité Publique</v>
      </c>
      <c r="Q69" t="str">
        <f t="shared" si="16"/>
        <v>36</v>
      </c>
      <c r="R69" t="str">
        <f t="shared" si="17"/>
        <v>Tarifs conventionnels assurance maladie</v>
      </c>
      <c r="U69" t="str">
        <f>"750069759"</f>
        <v>750069759</v>
      </c>
    </row>
    <row r="70" spans="1:21" x14ac:dyDescent="0.3">
      <c r="A70" t="str">
        <f>"780029401"</f>
        <v>780029401</v>
      </c>
      <c r="B70" t="str">
        <f>"917 453 532 00017"</f>
        <v>917 453 532 00017</v>
      </c>
      <c r="D70" t="str">
        <f>"CDS GENERAL DE GAULLE"</f>
        <v>CDS GENERAL DE GAULLE</v>
      </c>
      <c r="F70" t="str">
        <f>"153 AVENUE DU GENERAL DE GAULLE"</f>
        <v>153 AVENUE DU GENERAL DE GAULLE</v>
      </c>
      <c r="H70" t="str">
        <f>"78500"</f>
        <v>78500</v>
      </c>
      <c r="I70" t="str">
        <f>"SARTROUVILLE"</f>
        <v>SARTROUVILLE</v>
      </c>
      <c r="J70" t="str">
        <f>"06 51 32 10 08 "</f>
        <v xml:space="preserve">06 51 32 10 08 </v>
      </c>
      <c r="L70" s="1">
        <v>44986</v>
      </c>
      <c r="M70" t="str">
        <f t="shared" si="14"/>
        <v>124</v>
      </c>
      <c r="N70" t="str">
        <f t="shared" si="15"/>
        <v>Centre de Santé</v>
      </c>
      <c r="O70" t="str">
        <f>"60"</f>
        <v>60</v>
      </c>
      <c r="P70" t="str">
        <f>"Association Loi 1901 non Reconnue d'Utilité Publique"</f>
        <v>Association Loi 1901 non Reconnue d'Utilité Publique</v>
      </c>
      <c r="Q70" t="str">
        <f t="shared" si="16"/>
        <v>36</v>
      </c>
      <c r="R70" t="str">
        <f t="shared" si="17"/>
        <v>Tarifs conventionnels assurance maladie</v>
      </c>
      <c r="U70" t="str">
        <f>"780029393"</f>
        <v>780029393</v>
      </c>
    </row>
    <row r="71" spans="1:21" x14ac:dyDescent="0.3">
      <c r="A71" t="str">
        <f>"930030788"</f>
        <v>930030788</v>
      </c>
      <c r="B71" t="str">
        <f>"895 234 706 00029"</f>
        <v>895 234 706 00029</v>
      </c>
      <c r="D71" t="str">
        <f>"CDS DENTAIRE BALLANGER"</f>
        <v>CDS DENTAIRE BALLANGER</v>
      </c>
      <c r="F71" t="str">
        <f>"186 BOULEVARD ROBERT BALLANGER"</f>
        <v>186 BOULEVARD ROBERT BALLANGER</v>
      </c>
      <c r="H71" t="str">
        <f>"93420"</f>
        <v>93420</v>
      </c>
      <c r="I71" t="str">
        <f>"VILLEPINTE"</f>
        <v>VILLEPINTE</v>
      </c>
      <c r="J71" t="str">
        <f>"01 84 74 47 44 "</f>
        <v xml:space="preserve">01 84 74 47 44 </v>
      </c>
      <c r="L71" s="1">
        <v>44986</v>
      </c>
      <c r="M71" t="str">
        <f t="shared" si="14"/>
        <v>124</v>
      </c>
      <c r="N71" t="str">
        <f t="shared" si="15"/>
        <v>Centre de Santé</v>
      </c>
      <c r="O71" t="str">
        <f>"60"</f>
        <v>60</v>
      </c>
      <c r="P71" t="str">
        <f>"Association Loi 1901 non Reconnue d'Utilité Publique"</f>
        <v>Association Loi 1901 non Reconnue d'Utilité Publique</v>
      </c>
      <c r="Q71" t="str">
        <f t="shared" si="16"/>
        <v>36</v>
      </c>
      <c r="R71" t="str">
        <f t="shared" si="17"/>
        <v>Tarifs conventionnels assurance maladie</v>
      </c>
      <c r="U71" t="str">
        <f>"930030770"</f>
        <v>930030770</v>
      </c>
    </row>
    <row r="72" spans="1:21" x14ac:dyDescent="0.3">
      <c r="A72" t="str">
        <f>"600017123"</f>
        <v>600017123</v>
      </c>
      <c r="B72" t="str">
        <f>"216 001 560 00145"</f>
        <v>216 001 560 00145</v>
      </c>
      <c r="D72" t="str">
        <f>"CS MÉDICAL DU CLERMONTOIS"</f>
        <v>CS MÉDICAL DU CLERMONTOIS</v>
      </c>
      <c r="F72" t="str">
        <f>"5 RUE DE VERDUN"</f>
        <v>5 RUE DE VERDUN</v>
      </c>
      <c r="H72" t="str">
        <f>"60600"</f>
        <v>60600</v>
      </c>
      <c r="I72" t="str">
        <f>"CLERMONT"</f>
        <v>CLERMONT</v>
      </c>
      <c r="J72" t="str">
        <f>"03 44 50 49 16 "</f>
        <v xml:space="preserve">03 44 50 49 16 </v>
      </c>
      <c r="L72" s="1">
        <v>44984</v>
      </c>
      <c r="M72" t="str">
        <f t="shared" si="14"/>
        <v>124</v>
      </c>
      <c r="N72" t="str">
        <f t="shared" si="15"/>
        <v>Centre de Santé</v>
      </c>
      <c r="O72" t="str">
        <f>"03"</f>
        <v>03</v>
      </c>
      <c r="P72" t="str">
        <f>"Commune"</f>
        <v>Commune</v>
      </c>
      <c r="Q72" t="str">
        <f t="shared" si="16"/>
        <v>36</v>
      </c>
      <c r="R72" t="str">
        <f t="shared" si="17"/>
        <v>Tarifs conventionnels assurance maladie</v>
      </c>
      <c r="U72" t="str">
        <f>"600017115"</f>
        <v>600017115</v>
      </c>
    </row>
    <row r="73" spans="1:21" x14ac:dyDescent="0.3">
      <c r="A73" t="str">
        <f>"270030505"</f>
        <v>270030505</v>
      </c>
      <c r="B73" t="str">
        <f>"918 614 314 00014"</f>
        <v>918 614 314 00014</v>
      </c>
      <c r="D73" t="str">
        <f>"CENTRE DE SANTE OPHTEYES EVREUX"</f>
        <v>CENTRE DE SANTE OPHTEYES EVREUX</v>
      </c>
      <c r="F73" t="str">
        <f>"18 RUE DU DOCTEUR OURSEL"</f>
        <v>18 RUE DU DOCTEUR OURSEL</v>
      </c>
      <c r="H73" t="str">
        <f>"27000"</f>
        <v>27000</v>
      </c>
      <c r="I73" t="str">
        <f>"EVREUX"</f>
        <v>EVREUX</v>
      </c>
      <c r="L73" s="1">
        <v>44981</v>
      </c>
      <c r="M73" t="str">
        <f t="shared" si="14"/>
        <v>124</v>
      </c>
      <c r="N73" t="str">
        <f t="shared" si="15"/>
        <v>Centre de Santé</v>
      </c>
      <c r="O73" t="str">
        <f>"60"</f>
        <v>60</v>
      </c>
      <c r="P73" t="str">
        <f>"Association Loi 1901 non Reconnue d'Utilité Publique"</f>
        <v>Association Loi 1901 non Reconnue d'Utilité Publique</v>
      </c>
      <c r="Q73" t="str">
        <f t="shared" si="16"/>
        <v>36</v>
      </c>
      <c r="R73" t="str">
        <f t="shared" si="17"/>
        <v>Tarifs conventionnels assurance maladie</v>
      </c>
      <c r="U73" t="str">
        <f>"270030497"</f>
        <v>270030497</v>
      </c>
    </row>
    <row r="74" spans="1:21" x14ac:dyDescent="0.3">
      <c r="A74" t="str">
        <f>"350055240"</f>
        <v>350055240</v>
      </c>
      <c r="B74" t="str">
        <f>"894 821 677 00024"</f>
        <v>894 821 677 00024</v>
      </c>
      <c r="D74" t="str">
        <f>"CDS OPHTALMOLOGIQUE RENNES PACE"</f>
        <v>CDS OPHTALMOLOGIQUE RENNES PACE</v>
      </c>
      <c r="E74" t="str">
        <f>"CC SHOPIN PACE ZONE RIVE OUEST"</f>
        <v>CC SHOPIN PACE ZONE RIVE OUEST</v>
      </c>
      <c r="F74" t="str">
        <f>"BOULEVARD DE LA GIRAUDAIS"</f>
        <v>BOULEVARD DE LA GIRAUDAIS</v>
      </c>
      <c r="H74" t="str">
        <f>"35740"</f>
        <v>35740</v>
      </c>
      <c r="I74" t="str">
        <f>"PACE"</f>
        <v>PACE</v>
      </c>
      <c r="J74" t="str">
        <f>"02 21 76 07 59 "</f>
        <v xml:space="preserve">02 21 76 07 59 </v>
      </c>
      <c r="L74" s="1">
        <v>44980</v>
      </c>
      <c r="M74" t="str">
        <f t="shared" si="14"/>
        <v>124</v>
      </c>
      <c r="N74" t="str">
        <f t="shared" si="15"/>
        <v>Centre de Santé</v>
      </c>
      <c r="O74" t="str">
        <f>"60"</f>
        <v>60</v>
      </c>
      <c r="P74" t="str">
        <f>"Association Loi 1901 non Reconnue d'Utilité Publique"</f>
        <v>Association Loi 1901 non Reconnue d'Utilité Publique</v>
      </c>
      <c r="Q74" t="str">
        <f t="shared" si="16"/>
        <v>36</v>
      </c>
      <c r="R74" t="str">
        <f t="shared" si="17"/>
        <v>Tarifs conventionnels assurance maladie</v>
      </c>
      <c r="U74" t="str">
        <f>"350056404"</f>
        <v>350056404</v>
      </c>
    </row>
    <row r="75" spans="1:21" x14ac:dyDescent="0.3">
      <c r="A75" t="str">
        <f>"950047449"</f>
        <v>950047449</v>
      </c>
      <c r="B75" t="str">
        <f>"919 774 703 00012"</f>
        <v>919 774 703 00012</v>
      </c>
      <c r="D75" t="str">
        <f>"CDS ASOOMER"</f>
        <v>CDS ASOOMER</v>
      </c>
      <c r="E75" t="str">
        <f>"CENTRE COMMERCIAL ART DE VIVRE"</f>
        <v>CENTRE COMMERCIAL ART DE VIVRE</v>
      </c>
      <c r="F75" t="str">
        <f>"1 RUE DU BAS NOYER"</f>
        <v>1 RUE DU BAS NOYER</v>
      </c>
      <c r="H75" t="str">
        <f>"95610"</f>
        <v>95610</v>
      </c>
      <c r="I75" t="str">
        <f>"ERAGNY SUR OISE"</f>
        <v>ERAGNY SUR OISE</v>
      </c>
      <c r="J75" t="str">
        <f>"01 84 24 00 64 "</f>
        <v xml:space="preserve">01 84 24 00 64 </v>
      </c>
      <c r="L75" s="1">
        <v>44979</v>
      </c>
      <c r="M75" t="str">
        <f t="shared" si="14"/>
        <v>124</v>
      </c>
      <c r="N75" t="str">
        <f t="shared" si="15"/>
        <v>Centre de Santé</v>
      </c>
      <c r="O75" t="str">
        <f>"60"</f>
        <v>60</v>
      </c>
      <c r="P75" t="str">
        <f>"Association Loi 1901 non Reconnue d'Utilité Publique"</f>
        <v>Association Loi 1901 non Reconnue d'Utilité Publique</v>
      </c>
      <c r="Q75" t="str">
        <f t="shared" si="16"/>
        <v>36</v>
      </c>
      <c r="R75" t="str">
        <f t="shared" si="17"/>
        <v>Tarifs conventionnels assurance maladie</v>
      </c>
      <c r="U75" t="str">
        <f>"950047431"</f>
        <v>950047431</v>
      </c>
    </row>
    <row r="76" spans="1:21" x14ac:dyDescent="0.3">
      <c r="A76" t="str">
        <f>"750071581"</f>
        <v>750071581</v>
      </c>
      <c r="B76" t="str">
        <f>"920 344 207 00013"</f>
        <v>920 344 207 00013</v>
      </c>
      <c r="D76" t="str">
        <f>"CDS 38.2 SANTE"</f>
        <v>CDS 38.2 SANTE</v>
      </c>
      <c r="F76" t="str">
        <f>"3 RUE FRAGONARD"</f>
        <v>3 RUE FRAGONARD</v>
      </c>
      <c r="H76" t="str">
        <f>"75017"</f>
        <v>75017</v>
      </c>
      <c r="I76" t="str">
        <f>"PARIS"</f>
        <v>PARIS</v>
      </c>
      <c r="J76" t="str">
        <f>"01 87 20 03 82 "</f>
        <v xml:space="preserve">01 87 20 03 82 </v>
      </c>
      <c r="L76" s="1">
        <v>44978</v>
      </c>
      <c r="M76" t="str">
        <f t="shared" si="14"/>
        <v>124</v>
      </c>
      <c r="N76" t="str">
        <f t="shared" si="15"/>
        <v>Centre de Santé</v>
      </c>
      <c r="O76" t="str">
        <f>"60"</f>
        <v>60</v>
      </c>
      <c r="P76" t="str">
        <f>"Association Loi 1901 non Reconnue d'Utilité Publique"</f>
        <v>Association Loi 1901 non Reconnue d'Utilité Publique</v>
      </c>
      <c r="Q76" t="str">
        <f t="shared" si="16"/>
        <v>36</v>
      </c>
      <c r="R76" t="str">
        <f t="shared" si="17"/>
        <v>Tarifs conventionnels assurance maladie</v>
      </c>
      <c r="U76" t="str">
        <f>"750071573"</f>
        <v>750071573</v>
      </c>
    </row>
    <row r="77" spans="1:21" x14ac:dyDescent="0.3">
      <c r="A77" t="str">
        <f>"950046961"</f>
        <v>950046961</v>
      </c>
      <c r="B77" t="str">
        <f>"899 561 286 00019"</f>
        <v>899 561 286 00019</v>
      </c>
      <c r="D77" t="str">
        <f>"CDS OPHTAFOR"</f>
        <v>CDS OPHTAFOR</v>
      </c>
      <c r="F77" t="str">
        <f>"ALL LOUIS DE FUNES"</f>
        <v>ALL LOUIS DE FUNES</v>
      </c>
      <c r="G77" t="str">
        <f>"CCIAL DU FORUM"</f>
        <v>CCIAL DU FORUM</v>
      </c>
      <c r="H77" t="str">
        <f>"95210"</f>
        <v>95210</v>
      </c>
      <c r="I77" t="str">
        <f>"ST GRATIEN"</f>
        <v>ST GRATIEN</v>
      </c>
      <c r="J77" t="str">
        <f>"06 62 01 62 62 "</f>
        <v xml:space="preserve">06 62 01 62 62 </v>
      </c>
      <c r="L77" s="1">
        <v>44978</v>
      </c>
      <c r="M77" t="str">
        <f t="shared" si="14"/>
        <v>124</v>
      </c>
      <c r="N77" t="str">
        <f t="shared" si="15"/>
        <v>Centre de Santé</v>
      </c>
      <c r="O77" t="str">
        <f>"60"</f>
        <v>60</v>
      </c>
      <c r="P77" t="str">
        <f>"Association Loi 1901 non Reconnue d'Utilité Publique"</f>
        <v>Association Loi 1901 non Reconnue d'Utilité Publique</v>
      </c>
      <c r="Q77" t="str">
        <f t="shared" si="16"/>
        <v>36</v>
      </c>
      <c r="R77" t="str">
        <f t="shared" si="17"/>
        <v>Tarifs conventionnels assurance maladie</v>
      </c>
      <c r="U77" t="str">
        <f>"950046953"</f>
        <v>950046953</v>
      </c>
    </row>
    <row r="78" spans="1:21" x14ac:dyDescent="0.3">
      <c r="A78" t="str">
        <f>"970303442"</f>
        <v>970303442</v>
      </c>
      <c r="B78" t="str">
        <f>"775 672 272 21112"</f>
        <v>775 672 272 21112</v>
      </c>
      <c r="D78" t="str">
        <f>"CENTRE DE SANTÉ DE KOUROU C.R.F"</f>
        <v>CENTRE DE SANTÉ DE KOUROU C.R.F</v>
      </c>
      <c r="F78" t="str">
        <f>"4 PLACE NOBEL"</f>
        <v>4 PLACE NOBEL</v>
      </c>
      <c r="H78" t="str">
        <f>"97310"</f>
        <v>97310</v>
      </c>
      <c r="I78" t="str">
        <f>"KOUROU"</f>
        <v>KOUROU</v>
      </c>
      <c r="J78" t="str">
        <f>"05 94 32 05 56 "</f>
        <v xml:space="preserve">05 94 32 05 56 </v>
      </c>
      <c r="K78" t="str">
        <f>"05 94 32 71 22"</f>
        <v>05 94 32 71 22</v>
      </c>
      <c r="L78" s="1">
        <v>44978</v>
      </c>
      <c r="M78" t="str">
        <f t="shared" si="14"/>
        <v>124</v>
      </c>
      <c r="N78" t="str">
        <f t="shared" si="15"/>
        <v>Centre de Santé</v>
      </c>
      <c r="O78" t="str">
        <f>"61"</f>
        <v>61</v>
      </c>
      <c r="P78" t="str">
        <f>"Association Loi 1901 Reconnue d'Utilité Publique"</f>
        <v>Association Loi 1901 Reconnue d'Utilité Publique</v>
      </c>
      <c r="Q78" t="str">
        <f t="shared" si="16"/>
        <v>36</v>
      </c>
      <c r="R78" t="str">
        <f t="shared" si="17"/>
        <v>Tarifs conventionnels assurance maladie</v>
      </c>
      <c r="U78" t="str">
        <f>"750721334"</f>
        <v>750721334</v>
      </c>
    </row>
    <row r="79" spans="1:21" x14ac:dyDescent="0.3">
      <c r="A79" t="str">
        <f>"970304622"</f>
        <v>970304622</v>
      </c>
      <c r="B79" t="str">
        <f>"775 672 272 27416"</f>
        <v>775 672 272 27416</v>
      </c>
      <c r="D79" t="str">
        <f>"CENTRE DE SANTE DE CAYENNE C.R.F"</f>
        <v>CENTRE DE SANTE DE CAYENNE C.R.F</v>
      </c>
      <c r="F79" t="str">
        <f>"25 RUE DU DOCTEUR BARRAT"</f>
        <v>25 RUE DU DOCTEUR BARRAT</v>
      </c>
      <c r="H79" t="str">
        <f>"97300"</f>
        <v>97300</v>
      </c>
      <c r="I79" t="str">
        <f>"CAYENNE"</f>
        <v>CAYENNE</v>
      </c>
      <c r="J79" t="str">
        <f>"05 94 28 41 30 "</f>
        <v xml:space="preserve">05 94 28 41 30 </v>
      </c>
      <c r="K79" t="str">
        <f>"05 94 28 25 57"</f>
        <v>05 94 28 25 57</v>
      </c>
      <c r="L79" s="1">
        <v>44978</v>
      </c>
      <c r="M79" t="str">
        <f t="shared" si="14"/>
        <v>124</v>
      </c>
      <c r="N79" t="str">
        <f t="shared" si="15"/>
        <v>Centre de Santé</v>
      </c>
      <c r="O79" t="str">
        <f>"61"</f>
        <v>61</v>
      </c>
      <c r="P79" t="str">
        <f>"Association Loi 1901 Reconnue d'Utilité Publique"</f>
        <v>Association Loi 1901 Reconnue d'Utilité Publique</v>
      </c>
      <c r="Q79" t="str">
        <f t="shared" si="16"/>
        <v>36</v>
      </c>
      <c r="R79" t="str">
        <f t="shared" si="17"/>
        <v>Tarifs conventionnels assurance maladie</v>
      </c>
      <c r="U79" t="str">
        <f>"750721334"</f>
        <v>750721334</v>
      </c>
    </row>
    <row r="80" spans="1:21" x14ac:dyDescent="0.3">
      <c r="A80" t="str">
        <f>"970304630"</f>
        <v>970304630</v>
      </c>
      <c r="B80" t="str">
        <f>"775 672 272 27424"</f>
        <v>775 672 272 27424</v>
      </c>
      <c r="D80" t="str">
        <f>"CENTRE DE SANTE DE SLM C.R.F"</f>
        <v>CENTRE DE SANTE DE SLM C.R.F</v>
      </c>
      <c r="F80" t="str">
        <f>"1 ALLEE PAUL CLAUDEL"</f>
        <v>1 ALLEE PAUL CLAUDEL</v>
      </c>
      <c r="H80" t="str">
        <f>"97320"</f>
        <v>97320</v>
      </c>
      <c r="I80" t="str">
        <f>"ST LAURENT DU MARONI"</f>
        <v>ST LAURENT DU MARONI</v>
      </c>
      <c r="J80" t="str">
        <f>"05 94 32 98 11 "</f>
        <v xml:space="preserve">05 94 32 98 11 </v>
      </c>
      <c r="K80" t="str">
        <f>"05 94 27 86 10"</f>
        <v>05 94 27 86 10</v>
      </c>
      <c r="L80" s="1">
        <v>44978</v>
      </c>
      <c r="M80" t="str">
        <f t="shared" si="14"/>
        <v>124</v>
      </c>
      <c r="N80" t="str">
        <f t="shared" si="15"/>
        <v>Centre de Santé</v>
      </c>
      <c r="O80" t="str">
        <f>"61"</f>
        <v>61</v>
      </c>
      <c r="P80" t="str">
        <f>"Association Loi 1901 Reconnue d'Utilité Publique"</f>
        <v>Association Loi 1901 Reconnue d'Utilité Publique</v>
      </c>
      <c r="Q80" t="str">
        <f t="shared" si="16"/>
        <v>36</v>
      </c>
      <c r="R80" t="str">
        <f t="shared" si="17"/>
        <v>Tarifs conventionnels assurance maladie</v>
      </c>
      <c r="U80" t="str">
        <f>"750721334"</f>
        <v>750721334</v>
      </c>
    </row>
    <row r="81" spans="1:21" x14ac:dyDescent="0.3">
      <c r="A81" t="str">
        <f>"660012808"</f>
        <v>660012808</v>
      </c>
      <c r="B81" t="str">
        <f>"901 323 022 00011"</f>
        <v>901 323 022 00011</v>
      </c>
      <c r="D81" t="str">
        <f>"CDS JEAN PAYRA"</f>
        <v>CDS JEAN PAYRA</v>
      </c>
      <c r="F81" t="str">
        <f>"13 QUAI FRANCOIS BATLLO"</f>
        <v>13 QUAI FRANCOIS BATLLO</v>
      </c>
      <c r="H81" t="str">
        <f>"66000"</f>
        <v>66000</v>
      </c>
      <c r="I81" t="str">
        <f>"PERPIGNAN"</f>
        <v>PERPIGNAN</v>
      </c>
      <c r="J81" t="str">
        <f>"04 48 50 20 20 "</f>
        <v xml:space="preserve">04 48 50 20 20 </v>
      </c>
      <c r="L81" s="1">
        <v>44977</v>
      </c>
      <c r="M81" t="str">
        <f t="shared" si="14"/>
        <v>124</v>
      </c>
      <c r="N81" t="str">
        <f t="shared" si="15"/>
        <v>Centre de Santé</v>
      </c>
      <c r="O81" t="str">
        <f>"60"</f>
        <v>60</v>
      </c>
      <c r="P81" t="str">
        <f>"Association Loi 1901 non Reconnue d'Utilité Publique"</f>
        <v>Association Loi 1901 non Reconnue d'Utilité Publique</v>
      </c>
      <c r="Q81" t="str">
        <f t="shared" si="16"/>
        <v>36</v>
      </c>
      <c r="R81" t="str">
        <f t="shared" si="17"/>
        <v>Tarifs conventionnels assurance maladie</v>
      </c>
      <c r="U81" t="str">
        <f>"660012790"</f>
        <v>660012790</v>
      </c>
    </row>
    <row r="82" spans="1:21" x14ac:dyDescent="0.3">
      <c r="A82" t="str">
        <f>"060031572"</f>
        <v>060031572</v>
      </c>
      <c r="B82" t="str">
        <f>"914 066 329 00022"</f>
        <v>914 066 329 00022</v>
      </c>
      <c r="D82" t="str">
        <f>"CENTRE DE SANTE DENTAIRE DE GRASSE"</f>
        <v>CENTRE DE SANTE DENTAIRE DE GRASSE</v>
      </c>
      <c r="F82" t="str">
        <f>"4 AVENUE MATHIAS DUVAL"</f>
        <v>4 AVENUE MATHIAS DUVAL</v>
      </c>
      <c r="H82" t="str">
        <f>"06130"</f>
        <v>06130</v>
      </c>
      <c r="I82" t="str">
        <f>"GRASSE"</f>
        <v>GRASSE</v>
      </c>
      <c r="J82" t="str">
        <f>"06 79 57 51 66 "</f>
        <v xml:space="preserve">06 79 57 51 66 </v>
      </c>
      <c r="L82" s="1">
        <v>44973</v>
      </c>
      <c r="M82" t="str">
        <f t="shared" si="14"/>
        <v>124</v>
      </c>
      <c r="N82" t="str">
        <f t="shared" si="15"/>
        <v>Centre de Santé</v>
      </c>
      <c r="O82" t="str">
        <f>"60"</f>
        <v>60</v>
      </c>
      <c r="P82" t="str">
        <f>"Association Loi 1901 non Reconnue d'Utilité Publique"</f>
        <v>Association Loi 1901 non Reconnue d'Utilité Publique</v>
      </c>
      <c r="Q82" t="str">
        <f t="shared" si="16"/>
        <v>36</v>
      </c>
      <c r="R82" t="str">
        <f t="shared" si="17"/>
        <v>Tarifs conventionnels assurance maladie</v>
      </c>
      <c r="U82" t="str">
        <f>"060031564"</f>
        <v>060031564</v>
      </c>
    </row>
    <row r="83" spans="1:21" x14ac:dyDescent="0.3">
      <c r="A83" t="str">
        <f>"540027117"</f>
        <v>540027117</v>
      </c>
      <c r="B83" t="str">
        <f>"783 371 289 00126"</f>
        <v>783 371 289 00126</v>
      </c>
      <c r="D83" t="str">
        <f>"CDS LONGWY"</f>
        <v>CDS LONGWY</v>
      </c>
      <c r="F83" t="str">
        <f>"40 AVENUE DU 8 MAI 1945"</f>
        <v>40 AVENUE DU 8 MAI 1945</v>
      </c>
      <c r="H83" t="str">
        <f>"54400"</f>
        <v>54400</v>
      </c>
      <c r="I83" t="str">
        <f>"LONGWY"</f>
        <v>LONGWY</v>
      </c>
      <c r="J83" t="str">
        <f>"03 82 25 90 20 "</f>
        <v xml:space="preserve">03 82 25 90 20 </v>
      </c>
      <c r="L83" s="1">
        <v>44973</v>
      </c>
      <c r="M83" t="str">
        <f t="shared" si="14"/>
        <v>124</v>
      </c>
      <c r="N83" t="str">
        <f t="shared" si="15"/>
        <v>Centre de Santé</v>
      </c>
      <c r="O83" t="str">
        <f>"40"</f>
        <v>40</v>
      </c>
      <c r="P83" t="str">
        <f>"Régime Général de Sécurité Sociale"</f>
        <v>Régime Général de Sécurité Sociale</v>
      </c>
      <c r="Q83" t="str">
        <f t="shared" si="16"/>
        <v>36</v>
      </c>
      <c r="R83" t="str">
        <f t="shared" si="17"/>
        <v>Tarifs conventionnels assurance maladie</v>
      </c>
      <c r="U83" t="str">
        <f>"540020658"</f>
        <v>540020658</v>
      </c>
    </row>
    <row r="84" spans="1:21" x14ac:dyDescent="0.3">
      <c r="A84" t="str">
        <f>"550008296"</f>
        <v>550008296</v>
      </c>
      <c r="B84" t="str">
        <f>"783 371 289 00134"</f>
        <v>783 371 289 00134</v>
      </c>
      <c r="D84" t="str">
        <f>"CDS VERDUN"</f>
        <v>CDS VERDUN</v>
      </c>
      <c r="F84" t="str">
        <f>"28 AVENUE DE DOUAUMONT"</f>
        <v>28 AVENUE DE DOUAUMONT</v>
      </c>
      <c r="H84" t="str">
        <f>"55100"</f>
        <v>55100</v>
      </c>
      <c r="I84" t="str">
        <f>"VERDUN"</f>
        <v>VERDUN</v>
      </c>
      <c r="J84" t="str">
        <f>"03 29 86 42 43 "</f>
        <v xml:space="preserve">03 29 86 42 43 </v>
      </c>
      <c r="L84" s="1">
        <v>44973</v>
      </c>
      <c r="M84" t="str">
        <f t="shared" si="14"/>
        <v>124</v>
      </c>
      <c r="N84" t="str">
        <f t="shared" si="15"/>
        <v>Centre de Santé</v>
      </c>
      <c r="O84" t="str">
        <f>"40"</f>
        <v>40</v>
      </c>
      <c r="P84" t="str">
        <f>"Régime Général de Sécurité Sociale"</f>
        <v>Régime Général de Sécurité Sociale</v>
      </c>
      <c r="Q84" t="str">
        <f t="shared" si="16"/>
        <v>36</v>
      </c>
      <c r="R84" t="str">
        <f t="shared" si="17"/>
        <v>Tarifs conventionnels assurance maladie</v>
      </c>
      <c r="U84" t="str">
        <f>"540020658"</f>
        <v>540020658</v>
      </c>
    </row>
    <row r="85" spans="1:21" x14ac:dyDescent="0.3">
      <c r="A85" t="str">
        <f>"600016976"</f>
        <v>600016976</v>
      </c>
      <c r="B85" t="str">
        <f>"246 000 566 00090"</f>
        <v>246 000 566 00090</v>
      </c>
      <c r="D85" t="str">
        <f>"CSD DU PLATEAU PICARD"</f>
        <v>CSD DU PLATEAU PICARD</v>
      </c>
      <c r="F85" t="str">
        <f>"3 RUE D'ORESMAUX"</f>
        <v>3 RUE D'ORESMAUX</v>
      </c>
      <c r="H85" t="str">
        <f>"60130"</f>
        <v>60130</v>
      </c>
      <c r="I85" t="str">
        <f>"ST JUST EN CHAUSSEE"</f>
        <v>ST JUST EN CHAUSSEE</v>
      </c>
      <c r="L85" s="1">
        <v>44973</v>
      </c>
      <c r="M85" t="str">
        <f t="shared" si="14"/>
        <v>124</v>
      </c>
      <c r="N85" t="str">
        <f t="shared" si="15"/>
        <v>Centre de Santé</v>
      </c>
      <c r="O85" t="str">
        <f>"61"</f>
        <v>61</v>
      </c>
      <c r="P85" t="str">
        <f>"Association Loi 1901 Reconnue d'Utilité Publique"</f>
        <v>Association Loi 1901 Reconnue d'Utilité Publique</v>
      </c>
      <c r="Q85" t="str">
        <f t="shared" si="16"/>
        <v>36</v>
      </c>
      <c r="R85" t="str">
        <f t="shared" si="17"/>
        <v>Tarifs conventionnels assurance maladie</v>
      </c>
      <c r="U85" t="str">
        <f>"600016968"</f>
        <v>600016968</v>
      </c>
    </row>
    <row r="86" spans="1:21" x14ac:dyDescent="0.3">
      <c r="A86" t="str">
        <f>"310035340"</f>
        <v>310035340</v>
      </c>
      <c r="B86" t="str">
        <f>"919 584 920 00012"</f>
        <v>919 584 920 00012</v>
      </c>
      <c r="D86" t="str">
        <f>"CENTRE DE SANTE TOULOUSE LA TERRASSE"</f>
        <v>CENTRE DE SANTE TOULOUSE LA TERRASSE</v>
      </c>
      <c r="F86" t="str">
        <f>"41 CHEMIN DE LA TERRASSE"</f>
        <v>41 CHEMIN DE LA TERRASSE</v>
      </c>
      <c r="H86" t="str">
        <f>"31500"</f>
        <v>31500</v>
      </c>
      <c r="I86" t="str">
        <f>"TOULOUSE"</f>
        <v>TOULOUSE</v>
      </c>
      <c r="L86" s="1">
        <v>44972</v>
      </c>
      <c r="M86" t="str">
        <f t="shared" si="14"/>
        <v>124</v>
      </c>
      <c r="N86" t="str">
        <f t="shared" si="15"/>
        <v>Centre de Santé</v>
      </c>
      <c r="O86" t="str">
        <f>"60"</f>
        <v>60</v>
      </c>
      <c r="P86" t="str">
        <f>"Association Loi 1901 non Reconnue d'Utilité Publique"</f>
        <v>Association Loi 1901 non Reconnue d'Utilité Publique</v>
      </c>
      <c r="Q86" t="str">
        <f t="shared" si="16"/>
        <v>36</v>
      </c>
      <c r="R86" t="str">
        <f t="shared" si="17"/>
        <v>Tarifs conventionnels assurance maladie</v>
      </c>
      <c r="U86" t="str">
        <f>"310035324"</f>
        <v>310035324</v>
      </c>
    </row>
    <row r="87" spans="1:21" x14ac:dyDescent="0.3">
      <c r="A87" t="str">
        <f>"920039575"</f>
        <v>920039575</v>
      </c>
      <c r="B87" t="str">
        <f>"912 576 097 00014"</f>
        <v>912 576 097 00014</v>
      </c>
      <c r="D87" t="str">
        <f>"CDS MÉDECINDIRECT"</f>
        <v>CDS MÉDECINDIRECT</v>
      </c>
      <c r="F87" t="str">
        <f>"13 IMPASSE MICHAEL WINBURN"</f>
        <v>13 IMPASSE MICHAEL WINBURN</v>
      </c>
      <c r="H87" t="str">
        <f>"92400"</f>
        <v>92400</v>
      </c>
      <c r="I87" t="str">
        <f>"COURBEVOIE"</f>
        <v>COURBEVOIE</v>
      </c>
      <c r="J87" t="str">
        <f>"09 74 99 94 76 "</f>
        <v xml:space="preserve">09 74 99 94 76 </v>
      </c>
      <c r="L87" s="1">
        <v>44972</v>
      </c>
      <c r="M87" t="str">
        <f t="shared" si="14"/>
        <v>124</v>
      </c>
      <c r="N87" t="str">
        <f t="shared" si="15"/>
        <v>Centre de Santé</v>
      </c>
      <c r="O87" t="str">
        <f>"60"</f>
        <v>60</v>
      </c>
      <c r="P87" t="str">
        <f>"Association Loi 1901 non Reconnue d'Utilité Publique"</f>
        <v>Association Loi 1901 non Reconnue d'Utilité Publique</v>
      </c>
      <c r="Q87" t="str">
        <f t="shared" si="16"/>
        <v>36</v>
      </c>
      <c r="R87" t="str">
        <f t="shared" si="17"/>
        <v>Tarifs conventionnels assurance maladie</v>
      </c>
      <c r="U87" t="str">
        <f>"920039567"</f>
        <v>920039567</v>
      </c>
    </row>
    <row r="88" spans="1:21" x14ac:dyDescent="0.3">
      <c r="A88" t="str">
        <f>"930032404"</f>
        <v>930032404</v>
      </c>
      <c r="B88" t="str">
        <f>"912 768 900 00017"</f>
        <v>912 768 900 00017</v>
      </c>
      <c r="D88" t="str">
        <f>"CDS MEDICAL DENTAIRE ROBESPIERRE"</f>
        <v>CDS MEDICAL DENTAIRE ROBESPIERRE</v>
      </c>
      <c r="F88" t="str">
        <f>"232 RUE DE PARIS"</f>
        <v>232 RUE DE PARIS</v>
      </c>
      <c r="H88" t="str">
        <f>"93100"</f>
        <v>93100</v>
      </c>
      <c r="I88" t="str">
        <f>"MONTREUIL"</f>
        <v>MONTREUIL</v>
      </c>
      <c r="L88" s="1">
        <v>44972</v>
      </c>
      <c r="M88" t="str">
        <f t="shared" si="14"/>
        <v>124</v>
      </c>
      <c r="N88" t="str">
        <f t="shared" si="15"/>
        <v>Centre de Santé</v>
      </c>
      <c r="O88" t="str">
        <f>"93"</f>
        <v>93</v>
      </c>
      <c r="P88" t="str">
        <f>"Société en commandite"</f>
        <v>Société en commandite</v>
      </c>
      <c r="Q88" t="str">
        <f t="shared" si="16"/>
        <v>36</v>
      </c>
      <c r="R88" t="str">
        <f t="shared" si="17"/>
        <v>Tarifs conventionnels assurance maladie</v>
      </c>
      <c r="U88" t="str">
        <f>"930032396"</f>
        <v>930032396</v>
      </c>
    </row>
    <row r="89" spans="1:21" x14ac:dyDescent="0.3">
      <c r="A89" t="str">
        <f>"380027102"</f>
        <v>380027102</v>
      </c>
      <c r="B89" t="str">
        <f>"921 832 416 00017"</f>
        <v>921 832 416 00017</v>
      </c>
      <c r="D89" t="str">
        <f>"CENTRE DE SANTE DENTAIRE LIBERATION"</f>
        <v>CENTRE DE SANTE DENTAIRE LIBERATION</v>
      </c>
      <c r="F89" t="str">
        <f>"214 COURS LIBERATION - GEN DE GAULLE"</f>
        <v>214 COURS LIBERATION - GEN DE GAULLE</v>
      </c>
      <c r="H89" t="str">
        <f>"38000"</f>
        <v>38000</v>
      </c>
      <c r="I89" t="str">
        <f>"GRENOBLE"</f>
        <v>GRENOBLE</v>
      </c>
      <c r="L89" s="1">
        <v>44970</v>
      </c>
      <c r="M89" t="str">
        <f t="shared" si="14"/>
        <v>124</v>
      </c>
      <c r="N89" t="str">
        <f t="shared" si="15"/>
        <v>Centre de Santé</v>
      </c>
      <c r="O89" t="str">
        <f t="shared" ref="O89:O96" si="18">"60"</f>
        <v>60</v>
      </c>
      <c r="P89" t="str">
        <f t="shared" ref="P89:P96" si="19">"Association Loi 1901 non Reconnue d'Utilité Publique"</f>
        <v>Association Loi 1901 non Reconnue d'Utilité Publique</v>
      </c>
      <c r="Q89" t="str">
        <f t="shared" si="16"/>
        <v>36</v>
      </c>
      <c r="R89" t="str">
        <f t="shared" si="17"/>
        <v>Tarifs conventionnels assurance maladie</v>
      </c>
      <c r="U89" t="str">
        <f>"380027094"</f>
        <v>380027094</v>
      </c>
    </row>
    <row r="90" spans="1:21" x14ac:dyDescent="0.3">
      <c r="A90" t="str">
        <f>"640021846"</f>
        <v>640021846</v>
      </c>
      <c r="B90" t="str">
        <f>"917 798 076 00019"</f>
        <v>917 798 076 00019</v>
      </c>
      <c r="D90" t="str">
        <f>"CDS SOMED BAYONNE"</f>
        <v>CDS SOMED BAYONNE</v>
      </c>
      <c r="F90" t="str">
        <f>"PLACE DE L'ARSENAL"</f>
        <v>PLACE DE L'ARSENAL</v>
      </c>
      <c r="H90" t="str">
        <f>"64100"</f>
        <v>64100</v>
      </c>
      <c r="I90" t="str">
        <f>"BAYONNE"</f>
        <v>BAYONNE</v>
      </c>
      <c r="L90" s="1">
        <v>44970</v>
      </c>
      <c r="M90" t="str">
        <f t="shared" si="14"/>
        <v>124</v>
      </c>
      <c r="N90" t="str">
        <f t="shared" si="15"/>
        <v>Centre de Santé</v>
      </c>
      <c r="O90" t="str">
        <f t="shared" si="18"/>
        <v>60</v>
      </c>
      <c r="P90" t="str">
        <f t="shared" si="19"/>
        <v>Association Loi 1901 non Reconnue d'Utilité Publique</v>
      </c>
      <c r="Q90" t="str">
        <f t="shared" si="16"/>
        <v>36</v>
      </c>
      <c r="R90" t="str">
        <f t="shared" si="17"/>
        <v>Tarifs conventionnels assurance maladie</v>
      </c>
      <c r="U90" t="str">
        <f>"640021838"</f>
        <v>640021838</v>
      </c>
    </row>
    <row r="91" spans="1:21" x14ac:dyDescent="0.3">
      <c r="A91" t="str">
        <f>"780029617"</f>
        <v>780029617</v>
      </c>
      <c r="B91" t="str">
        <f>"921 749 552 00011"</f>
        <v>921 749 552 00011</v>
      </c>
      <c r="D91" t="str">
        <f>"CDS SMILE ART VERSAILLES"</f>
        <v>CDS SMILE ART VERSAILLES</v>
      </c>
      <c r="F91" t="str">
        <f>"16 RUE SAINT LOUIS"</f>
        <v>16 RUE SAINT LOUIS</v>
      </c>
      <c r="H91" t="str">
        <f>"78000"</f>
        <v>78000</v>
      </c>
      <c r="I91" t="str">
        <f>"VERSAILLES"</f>
        <v>VERSAILLES</v>
      </c>
      <c r="J91" t="str">
        <f>"01 39 50 29 85 "</f>
        <v xml:space="preserve">01 39 50 29 85 </v>
      </c>
      <c r="L91" s="1">
        <v>44970</v>
      </c>
      <c r="M91" t="str">
        <f t="shared" si="14"/>
        <v>124</v>
      </c>
      <c r="N91" t="str">
        <f t="shared" si="15"/>
        <v>Centre de Santé</v>
      </c>
      <c r="O91" t="str">
        <f t="shared" si="18"/>
        <v>60</v>
      </c>
      <c r="P91" t="str">
        <f t="shared" si="19"/>
        <v>Association Loi 1901 non Reconnue d'Utilité Publique</v>
      </c>
      <c r="Q91" t="str">
        <f t="shared" si="16"/>
        <v>36</v>
      </c>
      <c r="R91" t="str">
        <f t="shared" si="17"/>
        <v>Tarifs conventionnels assurance maladie</v>
      </c>
      <c r="U91" t="str">
        <f>"780029609"</f>
        <v>780029609</v>
      </c>
    </row>
    <row r="92" spans="1:21" x14ac:dyDescent="0.3">
      <c r="A92" t="str">
        <f>"940029127"</f>
        <v>940029127</v>
      </c>
      <c r="B92" t="str">
        <f>"910 283 597 00011"</f>
        <v>910 283 597 00011</v>
      </c>
      <c r="D92" t="str">
        <f>"CDS MEDICO DENTAIRE LAPLACE"</f>
        <v>CDS MEDICO DENTAIRE LAPLACE</v>
      </c>
      <c r="F92" t="str">
        <f>"35 AVENUE LAPLACE"</f>
        <v>35 AVENUE LAPLACE</v>
      </c>
      <c r="H92" t="str">
        <f>"94110"</f>
        <v>94110</v>
      </c>
      <c r="I92" t="str">
        <f>"ARCUEIL"</f>
        <v>ARCUEIL</v>
      </c>
      <c r="L92" s="1">
        <v>44970</v>
      </c>
      <c r="M92" t="str">
        <f t="shared" si="14"/>
        <v>124</v>
      </c>
      <c r="N92" t="str">
        <f t="shared" si="15"/>
        <v>Centre de Santé</v>
      </c>
      <c r="O92" t="str">
        <f t="shared" si="18"/>
        <v>60</v>
      </c>
      <c r="P92" t="str">
        <f t="shared" si="19"/>
        <v>Association Loi 1901 non Reconnue d'Utilité Publique</v>
      </c>
      <c r="Q92" t="str">
        <f t="shared" si="16"/>
        <v>36</v>
      </c>
      <c r="R92" t="str">
        <f t="shared" si="17"/>
        <v>Tarifs conventionnels assurance maladie</v>
      </c>
      <c r="U92" t="str">
        <f>"940029119"</f>
        <v>940029119</v>
      </c>
    </row>
    <row r="93" spans="1:21" x14ac:dyDescent="0.3">
      <c r="A93" t="str">
        <f>"690048103"</f>
        <v>690048103</v>
      </c>
      <c r="B93" t="str">
        <f>"407 771 419 00030"</f>
        <v>407 771 419 00030</v>
      </c>
      <c r="D93" t="str">
        <f>"CENTRE DE SANTE INFIRMIER ASSI LYON 8E"</f>
        <v>CENTRE DE SANTE INFIRMIER ASSI LYON 8E</v>
      </c>
      <c r="F93" t="str">
        <f>"121 RUE PROFESSEUR BEAUVISAGE"</f>
        <v>121 RUE PROFESSEUR BEAUVISAGE</v>
      </c>
      <c r="H93" t="str">
        <f>"69008"</f>
        <v>69008</v>
      </c>
      <c r="I93" t="str">
        <f>"LYON"</f>
        <v>LYON</v>
      </c>
      <c r="J93" t="str">
        <f>"04 78 00 14 16 "</f>
        <v xml:space="preserve">04 78 00 14 16 </v>
      </c>
      <c r="L93" s="1">
        <v>44967</v>
      </c>
      <c r="M93" t="str">
        <f t="shared" si="14"/>
        <v>124</v>
      </c>
      <c r="N93" t="str">
        <f t="shared" si="15"/>
        <v>Centre de Santé</v>
      </c>
      <c r="O93" t="str">
        <f t="shared" si="18"/>
        <v>60</v>
      </c>
      <c r="P93" t="str">
        <f t="shared" si="19"/>
        <v>Association Loi 1901 non Reconnue d'Utilité Publique</v>
      </c>
      <c r="Q93" t="str">
        <f t="shared" si="16"/>
        <v>36</v>
      </c>
      <c r="R93" t="str">
        <f t="shared" si="17"/>
        <v>Tarifs conventionnels assurance maladie</v>
      </c>
      <c r="U93" t="str">
        <f>"690006804"</f>
        <v>690006804</v>
      </c>
    </row>
    <row r="94" spans="1:21" x14ac:dyDescent="0.3">
      <c r="A94" t="str">
        <f>"950046524"</f>
        <v>950046524</v>
      </c>
      <c r="B94" t="str">
        <f>"908 261 050 00011"</f>
        <v>908 261 050 00011</v>
      </c>
      <c r="D94" t="str">
        <f>"CDS DENTAIRE DE GROSLAY"</f>
        <v>CDS DENTAIRE DE GROSLAY</v>
      </c>
      <c r="E94" t="str">
        <f>"8-12"</f>
        <v>8-12</v>
      </c>
      <c r="F94" t="str">
        <f>"8 RUE CARNOT"</f>
        <v>8 RUE CARNOT</v>
      </c>
      <c r="H94" t="str">
        <f>"95410"</f>
        <v>95410</v>
      </c>
      <c r="I94" t="str">
        <f>"GROSLAY"</f>
        <v>GROSLAY</v>
      </c>
      <c r="J94" t="str">
        <f>"06 98 78 01 23 "</f>
        <v xml:space="preserve">06 98 78 01 23 </v>
      </c>
      <c r="L94" s="1">
        <v>44967</v>
      </c>
      <c r="M94" t="str">
        <f t="shared" si="14"/>
        <v>124</v>
      </c>
      <c r="N94" t="str">
        <f t="shared" si="15"/>
        <v>Centre de Santé</v>
      </c>
      <c r="O94" t="str">
        <f t="shared" si="18"/>
        <v>60</v>
      </c>
      <c r="P94" t="str">
        <f t="shared" si="19"/>
        <v>Association Loi 1901 non Reconnue d'Utilité Publique</v>
      </c>
      <c r="Q94" t="str">
        <f t="shared" si="16"/>
        <v>36</v>
      </c>
      <c r="R94" t="str">
        <f t="shared" si="17"/>
        <v>Tarifs conventionnels assurance maladie</v>
      </c>
      <c r="U94" t="str">
        <f>"950046516"</f>
        <v>950046516</v>
      </c>
    </row>
    <row r="95" spans="1:21" x14ac:dyDescent="0.3">
      <c r="A95" t="str">
        <f>"940029531"</f>
        <v>940029531</v>
      </c>
      <c r="B95" t="str">
        <f>"911 791 713 00017"</f>
        <v>911 791 713 00017</v>
      </c>
      <c r="D95" t="str">
        <f>"CDS ESPACE DENTAIRE BOISSY"</f>
        <v>CDS ESPACE DENTAIRE BOISSY</v>
      </c>
      <c r="F95" t="str">
        <f>"3 RUE DE PARIS"</f>
        <v>3 RUE DE PARIS</v>
      </c>
      <c r="H95" t="str">
        <f>"94470"</f>
        <v>94470</v>
      </c>
      <c r="I95" t="str">
        <f>"BOISSY ST LEGER"</f>
        <v>BOISSY ST LEGER</v>
      </c>
      <c r="J95" t="str">
        <f>"01 77 79 20 88 "</f>
        <v xml:space="preserve">01 77 79 20 88 </v>
      </c>
      <c r="L95" s="1">
        <v>44965</v>
      </c>
      <c r="M95" t="str">
        <f t="shared" si="14"/>
        <v>124</v>
      </c>
      <c r="N95" t="str">
        <f t="shared" si="15"/>
        <v>Centre de Santé</v>
      </c>
      <c r="O95" t="str">
        <f t="shared" si="18"/>
        <v>60</v>
      </c>
      <c r="P95" t="str">
        <f t="shared" si="19"/>
        <v>Association Loi 1901 non Reconnue d'Utilité Publique</v>
      </c>
      <c r="Q95" t="str">
        <f t="shared" si="16"/>
        <v>36</v>
      </c>
      <c r="R95" t="str">
        <f t="shared" si="17"/>
        <v>Tarifs conventionnels assurance maladie</v>
      </c>
      <c r="U95" t="str">
        <f>"940029523"</f>
        <v>940029523</v>
      </c>
    </row>
    <row r="96" spans="1:21" x14ac:dyDescent="0.3">
      <c r="A96" t="str">
        <f>"130053572"</f>
        <v>130053572</v>
      </c>
      <c r="B96" t="str">
        <f>"895 186 344 00019"</f>
        <v>895 186 344 00019</v>
      </c>
      <c r="D96" t="str">
        <f>"CENTRE DE SANTE AQODI"</f>
        <v>CENTRE DE SANTE AQODI</v>
      </c>
      <c r="F96" t="str">
        <f>"7 SQUARE STALINGRAD"</f>
        <v>7 SQUARE STALINGRAD</v>
      </c>
      <c r="H96" t="str">
        <f>"13001"</f>
        <v>13001</v>
      </c>
      <c r="I96" t="str">
        <f>"MARSEILLE"</f>
        <v>MARSEILLE</v>
      </c>
      <c r="J96" t="str">
        <f>"04 13 68 20 00 "</f>
        <v xml:space="preserve">04 13 68 20 00 </v>
      </c>
      <c r="L96" s="1">
        <v>44963</v>
      </c>
      <c r="M96" t="str">
        <f t="shared" si="14"/>
        <v>124</v>
      </c>
      <c r="N96" t="str">
        <f t="shared" si="15"/>
        <v>Centre de Santé</v>
      </c>
      <c r="O96" t="str">
        <f t="shared" si="18"/>
        <v>60</v>
      </c>
      <c r="P96" t="str">
        <f t="shared" si="19"/>
        <v>Association Loi 1901 non Reconnue d'Utilité Publique</v>
      </c>
      <c r="Q96" t="str">
        <f t="shared" si="16"/>
        <v>36</v>
      </c>
      <c r="R96" t="str">
        <f t="shared" si="17"/>
        <v>Tarifs conventionnels assurance maladie</v>
      </c>
      <c r="U96" t="str">
        <f>"750067324"</f>
        <v>750067324</v>
      </c>
    </row>
    <row r="97" spans="1:21" x14ac:dyDescent="0.3">
      <c r="A97" t="str">
        <f>"590068755"</f>
        <v>590068755</v>
      </c>
      <c r="B97" t="str">
        <f>"912 371 374 00014"</f>
        <v>912 371 374 00014</v>
      </c>
      <c r="D97" t="str">
        <f>"CSP DU MUSÉE VALENCIENNES"</f>
        <v>CSP DU MUSÉE VALENCIENNES</v>
      </c>
      <c r="F97" t="str">
        <f>"8 RUE DES INCAS"</f>
        <v>8 RUE DES INCAS</v>
      </c>
      <c r="H97" t="str">
        <f>"59300"</f>
        <v>59300</v>
      </c>
      <c r="I97" t="str">
        <f>"VALENCIENNES"</f>
        <v>VALENCIENNES</v>
      </c>
      <c r="L97" s="1">
        <v>44963</v>
      </c>
      <c r="M97" t="str">
        <f t="shared" si="14"/>
        <v>124</v>
      </c>
      <c r="N97" t="str">
        <f t="shared" si="15"/>
        <v>Centre de Santé</v>
      </c>
      <c r="O97" t="str">
        <f>"61"</f>
        <v>61</v>
      </c>
      <c r="P97" t="str">
        <f>"Association Loi 1901 Reconnue d'Utilité Publique"</f>
        <v>Association Loi 1901 Reconnue d'Utilité Publique</v>
      </c>
      <c r="Q97" t="str">
        <f t="shared" si="16"/>
        <v>36</v>
      </c>
      <c r="R97" t="str">
        <f t="shared" si="17"/>
        <v>Tarifs conventionnels assurance maladie</v>
      </c>
      <c r="U97" t="str">
        <f>"590068748"</f>
        <v>590068748</v>
      </c>
    </row>
    <row r="98" spans="1:21" x14ac:dyDescent="0.3">
      <c r="A98" t="str">
        <f>"830026860"</f>
        <v>830026860</v>
      </c>
      <c r="B98" t="str">
        <f>"903 680 429 00011"</f>
        <v>903 680 429 00011</v>
      </c>
      <c r="D98" t="str">
        <f>"CENTRE DE SANTE PROVENCE"</f>
        <v>CENTRE DE SANTE PROVENCE</v>
      </c>
      <c r="F98" t="str">
        <f>"PLACE DE LA VICTOIRE"</f>
        <v>PLACE DE LA VICTOIRE</v>
      </c>
      <c r="H98" t="str">
        <f>"83640"</f>
        <v>83640</v>
      </c>
      <c r="I98" t="str">
        <f>"ST ZACHARIE"</f>
        <v>ST ZACHARIE</v>
      </c>
      <c r="J98" t="str">
        <f>"04 42 32 67 92 "</f>
        <v xml:space="preserve">04 42 32 67 92 </v>
      </c>
      <c r="L98" s="1">
        <v>44963</v>
      </c>
      <c r="M98" t="str">
        <f t="shared" si="14"/>
        <v>124</v>
      </c>
      <c r="N98" t="str">
        <f t="shared" si="15"/>
        <v>Centre de Santé</v>
      </c>
      <c r="O98" t="str">
        <f>"60"</f>
        <v>60</v>
      </c>
      <c r="P98" t="str">
        <f>"Association Loi 1901 non Reconnue d'Utilité Publique"</f>
        <v>Association Loi 1901 non Reconnue d'Utilité Publique</v>
      </c>
      <c r="Q98" t="str">
        <f t="shared" si="16"/>
        <v>36</v>
      </c>
      <c r="R98" t="str">
        <f t="shared" si="17"/>
        <v>Tarifs conventionnels assurance maladie</v>
      </c>
      <c r="U98" t="str">
        <f>"130053838"</f>
        <v>130053838</v>
      </c>
    </row>
    <row r="99" spans="1:21" x14ac:dyDescent="0.3">
      <c r="A99" t="str">
        <f>"840022412"</f>
        <v>840022412</v>
      </c>
      <c r="B99" t="str">
        <f>"228 400 016 00017"</f>
        <v>228 400 016 00017</v>
      </c>
      <c r="D99" t="str">
        <f>"RESEAU DEPARTEMENTAL DE SANTÉ 84"</f>
        <v>RESEAU DEPARTEMENTAL DE SANTÉ 84</v>
      </c>
      <c r="F99" t="str">
        <f>"19 PLACE DE L'HORLOGE"</f>
        <v>19 PLACE DE L'HORLOGE</v>
      </c>
      <c r="H99" t="str">
        <f>"84000"</f>
        <v>84000</v>
      </c>
      <c r="I99" t="str">
        <f>"AVIGNON"</f>
        <v>AVIGNON</v>
      </c>
      <c r="J99" t="str">
        <f>"04 90 16 10 32 "</f>
        <v xml:space="preserve">04 90 16 10 32 </v>
      </c>
      <c r="L99" s="1">
        <v>44963</v>
      </c>
      <c r="M99" t="str">
        <f t="shared" si="14"/>
        <v>124</v>
      </c>
      <c r="N99" t="str">
        <f t="shared" si="15"/>
        <v>Centre de Santé</v>
      </c>
      <c r="O99" t="str">
        <f>"02"</f>
        <v>02</v>
      </c>
      <c r="P99" t="str">
        <f>"Département"</f>
        <v>Département</v>
      </c>
      <c r="Q99" t="str">
        <f t="shared" si="16"/>
        <v>36</v>
      </c>
      <c r="R99" t="str">
        <f t="shared" si="17"/>
        <v>Tarifs conventionnels assurance maladie</v>
      </c>
      <c r="U99" t="str">
        <f>"840022404"</f>
        <v>840022404</v>
      </c>
    </row>
    <row r="100" spans="1:21" x14ac:dyDescent="0.3">
      <c r="A100" t="str">
        <f>"850031055"</f>
        <v>850031055</v>
      </c>
      <c r="B100" t="str">
        <f>"218 502 268 00012"</f>
        <v>218 502 268 00012</v>
      </c>
      <c r="D100" t="str">
        <f>"CENTRE MUNICIPAL DE SANTE"</f>
        <v>CENTRE MUNICIPAL DE SANTE</v>
      </c>
      <c r="F100" t="str">
        <f>"51 RUE GEORGES CLEMENCEAU"</f>
        <v>51 RUE GEORGES CLEMENCEAU</v>
      </c>
      <c r="H100" t="str">
        <f>"85270"</f>
        <v>85270</v>
      </c>
      <c r="I100" t="str">
        <f>"ST HILAIRE DE RIEZ"</f>
        <v>ST HILAIRE DE RIEZ</v>
      </c>
      <c r="L100" s="1">
        <v>44963</v>
      </c>
      <c r="M100" t="str">
        <f t="shared" si="14"/>
        <v>124</v>
      </c>
      <c r="N100" t="str">
        <f t="shared" si="15"/>
        <v>Centre de Santé</v>
      </c>
      <c r="O100" t="str">
        <f>"03"</f>
        <v>03</v>
      </c>
      <c r="P100" t="str">
        <f>"Commune"</f>
        <v>Commune</v>
      </c>
      <c r="Q100" t="str">
        <f t="shared" ref="Q100:Q131" si="20">"36"</f>
        <v>36</v>
      </c>
      <c r="R100" t="str">
        <f t="shared" ref="R100:R131" si="21">"Tarifs conventionnels assurance maladie"</f>
        <v>Tarifs conventionnels assurance maladie</v>
      </c>
      <c r="U100" t="str">
        <f>"850031048"</f>
        <v>850031048</v>
      </c>
    </row>
    <row r="101" spans="1:21" x14ac:dyDescent="0.3">
      <c r="A101" t="str">
        <f>"950046300"</f>
        <v>950046300</v>
      </c>
      <c r="B101" t="str">
        <f>"907 905 087 00017"</f>
        <v>907 905 087 00017</v>
      </c>
      <c r="D101" t="str">
        <f>"CDS DENTAL SMART"</f>
        <v>CDS DENTAL SMART</v>
      </c>
      <c r="E101" t="str">
        <f>"CTRE COMMERCIAL LES 4 TULIPES"</f>
        <v>CTRE COMMERCIAL LES 4 TULIPES</v>
      </c>
      <c r="F101" t="str">
        <f>"66 BOULEVARD VICTOR BORDIER"</f>
        <v>66 BOULEVARD VICTOR BORDIER</v>
      </c>
      <c r="H101" t="str">
        <f>"95370"</f>
        <v>95370</v>
      </c>
      <c r="I101" t="str">
        <f>"MONTIGNY LES CORMEILLES"</f>
        <v>MONTIGNY LES CORMEILLES</v>
      </c>
      <c r="J101" t="str">
        <f>"01 85 11 00 08 "</f>
        <v xml:space="preserve">01 85 11 00 08 </v>
      </c>
      <c r="L101" s="1">
        <v>44963</v>
      </c>
      <c r="M101" t="str">
        <f t="shared" si="14"/>
        <v>124</v>
      </c>
      <c r="N101" t="str">
        <f t="shared" si="15"/>
        <v>Centre de Santé</v>
      </c>
      <c r="O101" t="str">
        <f>"60"</f>
        <v>60</v>
      </c>
      <c r="P101" t="str">
        <f>"Association Loi 1901 non Reconnue d'Utilité Publique"</f>
        <v>Association Loi 1901 non Reconnue d'Utilité Publique</v>
      </c>
      <c r="Q101" t="str">
        <f t="shared" si="20"/>
        <v>36</v>
      </c>
      <c r="R101" t="str">
        <f t="shared" si="21"/>
        <v>Tarifs conventionnels assurance maladie</v>
      </c>
      <c r="U101" t="str">
        <f>"950046292"</f>
        <v>950046292</v>
      </c>
    </row>
    <row r="102" spans="1:21" x14ac:dyDescent="0.3">
      <c r="A102" t="str">
        <f>"910026426"</f>
        <v>910026426</v>
      </c>
      <c r="B102" t="str">
        <f>"910 940 113 00012"</f>
        <v>910 940 113 00012</v>
      </c>
      <c r="D102" t="str">
        <f>"CDS OCULARIS"</f>
        <v>CDS OCULARIS</v>
      </c>
      <c r="F102" t="str">
        <f>"CENTRE CIAL VAL D'YERRES 2"</f>
        <v>CENTRE CIAL VAL D'YERRES 2</v>
      </c>
      <c r="H102" t="str">
        <f>"91800"</f>
        <v>91800</v>
      </c>
      <c r="I102" t="str">
        <f>"BOUSSY ST ANTOINE"</f>
        <v>BOUSSY ST ANTOINE</v>
      </c>
      <c r="J102" t="str">
        <f>"01 69 72 90 98 "</f>
        <v xml:space="preserve">01 69 72 90 98 </v>
      </c>
      <c r="L102" s="1">
        <v>44959</v>
      </c>
      <c r="M102" t="str">
        <f t="shared" si="14"/>
        <v>124</v>
      </c>
      <c r="N102" t="str">
        <f t="shared" si="15"/>
        <v>Centre de Santé</v>
      </c>
      <c r="O102" t="str">
        <f>"60"</f>
        <v>60</v>
      </c>
      <c r="P102" t="str">
        <f>"Association Loi 1901 non Reconnue d'Utilité Publique"</f>
        <v>Association Loi 1901 non Reconnue d'Utilité Publique</v>
      </c>
      <c r="Q102" t="str">
        <f t="shared" si="20"/>
        <v>36</v>
      </c>
      <c r="R102" t="str">
        <f t="shared" si="21"/>
        <v>Tarifs conventionnels assurance maladie</v>
      </c>
      <c r="U102" t="str">
        <f>"910026418"</f>
        <v>910026418</v>
      </c>
    </row>
    <row r="103" spans="1:21" x14ac:dyDescent="0.3">
      <c r="A103" t="str">
        <f>"280009135"</f>
        <v>280009135</v>
      </c>
      <c r="B103" t="str">
        <f>"911 257 111 00011"</f>
        <v>911 257 111 00011</v>
      </c>
      <c r="D103" t="str">
        <f>"CDS DENTAIRE D’ORTHODONTIE ORTHOCARE"</f>
        <v>CDS DENTAIRE D’ORTHODONTIE ORTHOCARE</v>
      </c>
      <c r="F103" t="str">
        <f>"52 AVENUE DU GENERAL LECLERC"</f>
        <v>52 AVENUE DU GENERAL LECLERC</v>
      </c>
      <c r="H103" t="str">
        <f>"28100"</f>
        <v>28100</v>
      </c>
      <c r="I103" t="str">
        <f>"DREUX"</f>
        <v>DREUX</v>
      </c>
      <c r="J103" t="str">
        <f>"06 10 16 10 10 "</f>
        <v xml:space="preserve">06 10 16 10 10 </v>
      </c>
      <c r="L103" s="1">
        <v>44958</v>
      </c>
      <c r="M103" t="str">
        <f t="shared" si="14"/>
        <v>124</v>
      </c>
      <c r="N103" t="str">
        <f t="shared" si="15"/>
        <v>Centre de Santé</v>
      </c>
      <c r="O103" t="str">
        <f>"60"</f>
        <v>60</v>
      </c>
      <c r="P103" t="str">
        <f>"Association Loi 1901 non Reconnue d'Utilité Publique"</f>
        <v>Association Loi 1901 non Reconnue d'Utilité Publique</v>
      </c>
      <c r="Q103" t="str">
        <f t="shared" si="20"/>
        <v>36</v>
      </c>
      <c r="R103" t="str">
        <f t="shared" si="21"/>
        <v>Tarifs conventionnels assurance maladie</v>
      </c>
      <c r="U103" t="str">
        <f>"280009127"</f>
        <v>280009127</v>
      </c>
    </row>
    <row r="104" spans="1:21" x14ac:dyDescent="0.3">
      <c r="A104" t="str">
        <f>"310035142"</f>
        <v>310035142</v>
      </c>
      <c r="B104" t="str">
        <f>"130 030 158 00104"</f>
        <v>130 030 158 00104</v>
      </c>
      <c r="D104" t="str">
        <f>"CDS DE MA REGION SAINT MARTORY"</f>
        <v>CDS DE MA REGION SAINT MARTORY</v>
      </c>
      <c r="F104" t="str">
        <f>"289 RUE DES ECOLES"</f>
        <v>289 RUE DES ECOLES</v>
      </c>
      <c r="H104" t="str">
        <f>"31360"</f>
        <v>31360</v>
      </c>
      <c r="I104" t="str">
        <f>"ST MARTORY"</f>
        <v>ST MARTORY</v>
      </c>
      <c r="J104" t="str">
        <f>"05 61 98 61 22 "</f>
        <v xml:space="preserve">05 61 98 61 22 </v>
      </c>
      <c r="L104" s="1">
        <v>44958</v>
      </c>
      <c r="M104" t="str">
        <f t="shared" si="14"/>
        <v>124</v>
      </c>
      <c r="N104" t="str">
        <f t="shared" si="15"/>
        <v>Centre de Santé</v>
      </c>
      <c r="O104" t="str">
        <f>"04"</f>
        <v>04</v>
      </c>
      <c r="P104" t="str">
        <f>"Région"</f>
        <v>Région</v>
      </c>
      <c r="Q104" t="str">
        <f t="shared" si="20"/>
        <v>36</v>
      </c>
      <c r="R104" t="str">
        <f t="shared" si="21"/>
        <v>Tarifs conventionnels assurance maladie</v>
      </c>
      <c r="U104" t="str">
        <f>"310034392"</f>
        <v>310034392</v>
      </c>
    </row>
    <row r="105" spans="1:21" x14ac:dyDescent="0.3">
      <c r="A105" t="str">
        <f>"340030311"</f>
        <v>340030311</v>
      </c>
      <c r="B105" t="str">
        <f>"908 109 689 00012"</f>
        <v>908 109 689 00012</v>
      </c>
      <c r="D105" t="str">
        <f>"CDS OPHTALMOLOGIQUE JEU DE PAUME"</f>
        <v>CDS OPHTALMOLOGIQUE JEU DE PAUME</v>
      </c>
      <c r="F105" t="str">
        <f>"3 BOULEVARD JEU DE PAUME"</f>
        <v>3 BOULEVARD JEU DE PAUME</v>
      </c>
      <c r="H105" t="str">
        <f>"34000"</f>
        <v>34000</v>
      </c>
      <c r="I105" t="str">
        <f>"MONTPELLIER"</f>
        <v>MONTPELLIER</v>
      </c>
      <c r="J105" t="str">
        <f>"04 99 66 79 26 "</f>
        <v xml:space="preserve">04 99 66 79 26 </v>
      </c>
      <c r="L105" s="1">
        <v>44958</v>
      </c>
      <c r="M105" t="str">
        <f t="shared" si="14"/>
        <v>124</v>
      </c>
      <c r="N105" t="str">
        <f t="shared" si="15"/>
        <v>Centre de Santé</v>
      </c>
      <c r="O105" t="str">
        <f>"60"</f>
        <v>60</v>
      </c>
      <c r="P105" t="str">
        <f>"Association Loi 1901 non Reconnue d'Utilité Publique"</f>
        <v>Association Loi 1901 non Reconnue d'Utilité Publique</v>
      </c>
      <c r="Q105" t="str">
        <f t="shared" si="20"/>
        <v>36</v>
      </c>
      <c r="R105" t="str">
        <f t="shared" si="21"/>
        <v>Tarifs conventionnels assurance maladie</v>
      </c>
      <c r="U105" t="str">
        <f>"340030303"</f>
        <v>340030303</v>
      </c>
    </row>
    <row r="106" spans="1:21" x14ac:dyDescent="0.3">
      <c r="A106" t="str">
        <f>"400015871"</f>
        <v>400015871</v>
      </c>
      <c r="B106" t="str">
        <f>"390 749 547 00274"</f>
        <v>390 749 547 00274</v>
      </c>
      <c r="D106" t="str">
        <f>"CDS POLYVALENT MUTUALISTE"</f>
        <v>CDS POLYVALENT MUTUALISTE</v>
      </c>
      <c r="F106" t="str">
        <f>"7 RUE DE LA PALINETTE"</f>
        <v>7 RUE DE LA PALINETTE</v>
      </c>
      <c r="H106" t="str">
        <f>"40130"</f>
        <v>40130</v>
      </c>
      <c r="I106" t="str">
        <f>"CAPBRETON"</f>
        <v>CAPBRETON</v>
      </c>
      <c r="J106" t="str">
        <f>"05 58 91 44 40 "</f>
        <v xml:space="preserve">05 58 91 44 40 </v>
      </c>
      <c r="L106" s="1">
        <v>44958</v>
      </c>
      <c r="M106" t="str">
        <f t="shared" si="14"/>
        <v>124</v>
      </c>
      <c r="N106" t="str">
        <f t="shared" si="15"/>
        <v>Centre de Santé</v>
      </c>
      <c r="O106" t="str">
        <f>"47"</f>
        <v>47</v>
      </c>
      <c r="P106" t="str">
        <f>"Société Mutualiste"</f>
        <v>Société Mutualiste</v>
      </c>
      <c r="Q106" t="str">
        <f t="shared" si="20"/>
        <v>36</v>
      </c>
      <c r="R106" t="str">
        <f t="shared" si="21"/>
        <v>Tarifs conventionnels assurance maladie</v>
      </c>
      <c r="U106" t="str">
        <f>"400011300"</f>
        <v>400011300</v>
      </c>
    </row>
    <row r="107" spans="1:21" x14ac:dyDescent="0.3">
      <c r="A107" t="str">
        <f>"640021903"</f>
        <v>640021903</v>
      </c>
      <c r="B107" t="str">
        <f>"387 647 597 00120"</f>
        <v>387 647 597 00120</v>
      </c>
      <c r="D107" t="str">
        <f>"CDS DENTAIRE ARZACQ"</f>
        <v>CDS DENTAIRE ARZACQ</v>
      </c>
      <c r="F107" t="str">
        <f>"PLACE DE LA REPUBLIQUE"</f>
        <v>PLACE DE LA REPUBLIQUE</v>
      </c>
      <c r="H107" t="str">
        <f>"64410"</f>
        <v>64410</v>
      </c>
      <c r="I107" t="str">
        <f>"ARZACQ ARRAZIGUET"</f>
        <v>ARZACQ ARRAZIGUET</v>
      </c>
      <c r="J107" t="str">
        <f>"05 59 04 47 00 "</f>
        <v xml:space="preserve">05 59 04 47 00 </v>
      </c>
      <c r="L107" s="1">
        <v>44958</v>
      </c>
      <c r="M107" t="str">
        <f t="shared" si="14"/>
        <v>124</v>
      </c>
      <c r="N107" t="str">
        <f t="shared" si="15"/>
        <v>Centre de Santé</v>
      </c>
      <c r="O107" t="str">
        <f>"60"</f>
        <v>60</v>
      </c>
      <c r="P107" t="str">
        <f>"Association Loi 1901 non Reconnue d'Utilité Publique"</f>
        <v>Association Loi 1901 non Reconnue d'Utilité Publique</v>
      </c>
      <c r="Q107" t="str">
        <f t="shared" si="20"/>
        <v>36</v>
      </c>
      <c r="R107" t="str">
        <f t="shared" si="21"/>
        <v>Tarifs conventionnels assurance maladie</v>
      </c>
      <c r="U107" t="str">
        <f>"640795621"</f>
        <v>640795621</v>
      </c>
    </row>
    <row r="108" spans="1:21" x14ac:dyDescent="0.3">
      <c r="A108" t="str">
        <f>"690052972"</f>
        <v>690052972</v>
      </c>
      <c r="B108" t="str">
        <f>"882 720 568 00048"</f>
        <v>882 720 568 00048</v>
      </c>
      <c r="D108" t="str">
        <f>"CENTRE DE SANTE DENTAIRE NEURO DENTAL"</f>
        <v>CENTRE DE SANTE DENTAIRE NEURO DENTAL</v>
      </c>
      <c r="F108" t="str">
        <f>"16 QUAI VICTOR AUGAGNEUR"</f>
        <v>16 QUAI VICTOR AUGAGNEUR</v>
      </c>
      <c r="H108" t="str">
        <f>"69003"</f>
        <v>69003</v>
      </c>
      <c r="I108" t="str">
        <f>"LYON"</f>
        <v>LYON</v>
      </c>
      <c r="J108" t="str">
        <f>"04 78 71 05 61 "</f>
        <v xml:space="preserve">04 78 71 05 61 </v>
      </c>
      <c r="L108" s="1">
        <v>44958</v>
      </c>
      <c r="M108" t="str">
        <f t="shared" si="14"/>
        <v>124</v>
      </c>
      <c r="N108" t="str">
        <f t="shared" si="15"/>
        <v>Centre de Santé</v>
      </c>
      <c r="O108" t="str">
        <f>"60"</f>
        <v>60</v>
      </c>
      <c r="P108" t="str">
        <f>"Association Loi 1901 non Reconnue d'Utilité Publique"</f>
        <v>Association Loi 1901 non Reconnue d'Utilité Publique</v>
      </c>
      <c r="Q108" t="str">
        <f t="shared" si="20"/>
        <v>36</v>
      </c>
      <c r="R108" t="str">
        <f t="shared" si="21"/>
        <v>Tarifs conventionnels assurance maladie</v>
      </c>
      <c r="U108" t="str">
        <f>"690051149"</f>
        <v>690051149</v>
      </c>
    </row>
    <row r="109" spans="1:21" x14ac:dyDescent="0.3">
      <c r="A109" t="str">
        <f>"810013367"</f>
        <v>810013367</v>
      </c>
      <c r="B109" t="str">
        <f>"130 030 158 00096"</f>
        <v>130 030 158 00096</v>
      </c>
      <c r="D109" t="str">
        <f>"CENTRE DE SANTÉ DE MA RÉGION LACAUNE"</f>
        <v>CENTRE DE SANTÉ DE MA RÉGION LACAUNE</v>
      </c>
      <c r="F109" t="str">
        <f>"20 RUE DE LA LIBERTE"</f>
        <v>20 RUE DE LA LIBERTE</v>
      </c>
      <c r="H109" t="str">
        <f>"81230"</f>
        <v>81230</v>
      </c>
      <c r="I109" t="str">
        <f>"LACAUNE"</f>
        <v>LACAUNE</v>
      </c>
      <c r="L109" s="1">
        <v>44958</v>
      </c>
      <c r="M109" t="str">
        <f t="shared" si="14"/>
        <v>124</v>
      </c>
      <c r="N109" t="str">
        <f t="shared" si="15"/>
        <v>Centre de Santé</v>
      </c>
      <c r="O109" t="str">
        <f>"04"</f>
        <v>04</v>
      </c>
      <c r="P109" t="str">
        <f>"Région"</f>
        <v>Région</v>
      </c>
      <c r="Q109" t="str">
        <f t="shared" si="20"/>
        <v>36</v>
      </c>
      <c r="R109" t="str">
        <f t="shared" si="21"/>
        <v>Tarifs conventionnels assurance maladie</v>
      </c>
      <c r="U109" t="str">
        <f>"310034392"</f>
        <v>310034392</v>
      </c>
    </row>
    <row r="110" spans="1:21" x14ac:dyDescent="0.3">
      <c r="A110" t="str">
        <f>"910026574"</f>
        <v>910026574</v>
      </c>
      <c r="B110" t="str">
        <f>"918 537 465 00018"</f>
        <v>918 537 465 00018</v>
      </c>
      <c r="D110" t="str">
        <f>"CENTRE DENTAIRE VILLEJUST"</f>
        <v>CENTRE DENTAIRE VILLEJUST</v>
      </c>
      <c r="F110" t="str">
        <f>"37 RUE DE LA MAIRIE"</f>
        <v>37 RUE DE LA MAIRIE</v>
      </c>
      <c r="H110" t="str">
        <f>"91140"</f>
        <v>91140</v>
      </c>
      <c r="I110" t="str">
        <f>"VILLEJUST"</f>
        <v>VILLEJUST</v>
      </c>
      <c r="J110" t="str">
        <f>"01 69 31 13 13 "</f>
        <v xml:space="preserve">01 69 31 13 13 </v>
      </c>
      <c r="L110" s="1">
        <v>44958</v>
      </c>
      <c r="M110" t="str">
        <f t="shared" si="14"/>
        <v>124</v>
      </c>
      <c r="N110" t="str">
        <f t="shared" si="15"/>
        <v>Centre de Santé</v>
      </c>
      <c r="O110" t="str">
        <f>"60"</f>
        <v>60</v>
      </c>
      <c r="P110" t="str">
        <f>"Association Loi 1901 non Reconnue d'Utilité Publique"</f>
        <v>Association Loi 1901 non Reconnue d'Utilité Publique</v>
      </c>
      <c r="Q110" t="str">
        <f t="shared" si="20"/>
        <v>36</v>
      </c>
      <c r="R110" t="str">
        <f t="shared" si="21"/>
        <v>Tarifs conventionnels assurance maladie</v>
      </c>
      <c r="U110" t="str">
        <f>"910026566"</f>
        <v>910026566</v>
      </c>
    </row>
    <row r="111" spans="1:21" x14ac:dyDescent="0.3">
      <c r="A111" t="str">
        <f>"930030812"</f>
        <v>930030812</v>
      </c>
      <c r="B111" t="str">
        <f>"892 861 352 00011"</f>
        <v>892 861 352 00011</v>
      </c>
      <c r="D111" t="str">
        <f>"CDS DENTAIRE VILLEPINTE GARE"</f>
        <v>CDS DENTAIRE VILLEPINTE GARE</v>
      </c>
      <c r="F111" t="str">
        <f>"24 AVENUE DE LA GARE"</f>
        <v>24 AVENUE DE LA GARE</v>
      </c>
      <c r="H111" t="str">
        <f>"93420"</f>
        <v>93420</v>
      </c>
      <c r="I111" t="str">
        <f>"VILLEPINTE"</f>
        <v>VILLEPINTE</v>
      </c>
      <c r="J111" t="str">
        <f>"06 49 82 10 85 "</f>
        <v xml:space="preserve">06 49 82 10 85 </v>
      </c>
      <c r="L111" s="1">
        <v>44957</v>
      </c>
      <c r="M111" t="str">
        <f t="shared" si="14"/>
        <v>124</v>
      </c>
      <c r="N111" t="str">
        <f t="shared" si="15"/>
        <v>Centre de Santé</v>
      </c>
      <c r="O111" t="str">
        <f>"60"</f>
        <v>60</v>
      </c>
      <c r="P111" t="str">
        <f>"Association Loi 1901 non Reconnue d'Utilité Publique"</f>
        <v>Association Loi 1901 non Reconnue d'Utilité Publique</v>
      </c>
      <c r="Q111" t="str">
        <f t="shared" si="20"/>
        <v>36</v>
      </c>
      <c r="R111" t="str">
        <f t="shared" si="21"/>
        <v>Tarifs conventionnels assurance maladie</v>
      </c>
      <c r="U111" t="str">
        <f>"930030804"</f>
        <v>930030804</v>
      </c>
    </row>
    <row r="112" spans="1:21" x14ac:dyDescent="0.3">
      <c r="A112" t="str">
        <f>"130053630"</f>
        <v>130053630</v>
      </c>
      <c r="B112" t="str">
        <f>"853 445 997 00010"</f>
        <v>853 445 997 00010</v>
      </c>
      <c r="D112" t="str">
        <f>"CDS CABRIES"</f>
        <v>CDS CABRIES</v>
      </c>
      <c r="F112" t="str">
        <f>"92 QUARTIER DES AIRES"</f>
        <v>92 QUARTIER DES AIRES</v>
      </c>
      <c r="H112" t="str">
        <f>"13480"</f>
        <v>13480</v>
      </c>
      <c r="I112" t="str">
        <f>"CABRIES"</f>
        <v>CABRIES</v>
      </c>
      <c r="L112" s="1">
        <v>44956</v>
      </c>
      <c r="M112" t="str">
        <f t="shared" si="14"/>
        <v>124</v>
      </c>
      <c r="N112" t="str">
        <f t="shared" si="15"/>
        <v>Centre de Santé</v>
      </c>
      <c r="O112" t="str">
        <f>"60"</f>
        <v>60</v>
      </c>
      <c r="P112" t="str">
        <f>"Association Loi 1901 non Reconnue d'Utilité Publique"</f>
        <v>Association Loi 1901 non Reconnue d'Utilité Publique</v>
      </c>
      <c r="Q112" t="str">
        <f t="shared" si="20"/>
        <v>36</v>
      </c>
      <c r="R112" t="str">
        <f t="shared" si="21"/>
        <v>Tarifs conventionnels assurance maladie</v>
      </c>
      <c r="U112" t="str">
        <f>"130053580"</f>
        <v>130053580</v>
      </c>
    </row>
    <row r="113" spans="1:21" x14ac:dyDescent="0.3">
      <c r="A113" t="str">
        <f>"270030315"</f>
        <v>270030315</v>
      </c>
      <c r="B113" t="str">
        <f>"200 071 454 00017"</f>
        <v>200 071 454 00017</v>
      </c>
      <c r="D113" t="str">
        <f>"CENTRE DE SANTE ITINERANT"</f>
        <v>CENTRE DE SANTE ITINERANT</v>
      </c>
      <c r="E113" t="str">
        <f>"PORTES DE NORMANDIE"</f>
        <v>PORTES DE NORMANDIE</v>
      </c>
      <c r="F113" t="str">
        <f>"9 RUE VOLTAIRE"</f>
        <v>9 RUE VOLTAIRE</v>
      </c>
      <c r="H113" t="str">
        <f>"27000"</f>
        <v>27000</v>
      </c>
      <c r="I113" t="str">
        <f>"EVREUX"</f>
        <v>EVREUX</v>
      </c>
      <c r="J113" t="str">
        <f>"02 32 78 24 82 "</f>
        <v xml:space="preserve">02 32 78 24 82 </v>
      </c>
      <c r="L113" s="1">
        <v>44956</v>
      </c>
      <c r="M113" t="str">
        <f t="shared" si="14"/>
        <v>124</v>
      </c>
      <c r="N113" t="str">
        <f t="shared" si="15"/>
        <v>Centre de Santé</v>
      </c>
      <c r="O113" t="str">
        <f>"26"</f>
        <v>26</v>
      </c>
      <c r="P113" t="str">
        <f>"Autre Etablissement Public à Caractère Administratif"</f>
        <v>Autre Etablissement Public à Caractère Administratif</v>
      </c>
      <c r="Q113" t="str">
        <f t="shared" si="20"/>
        <v>36</v>
      </c>
      <c r="R113" t="str">
        <f t="shared" si="21"/>
        <v>Tarifs conventionnels assurance maladie</v>
      </c>
      <c r="U113" t="str">
        <f>"270028863"</f>
        <v>270028863</v>
      </c>
    </row>
    <row r="114" spans="1:21" x14ac:dyDescent="0.3">
      <c r="A114" t="str">
        <f>"710017138"</f>
        <v>710017138</v>
      </c>
      <c r="B114" t="str">
        <f>"227 100 013 00738"</f>
        <v>227 100 013 00738</v>
      </c>
      <c r="D114" t="str">
        <f>"CENTRE DE SANTE TERRITORIAL DE LOUHANS"</f>
        <v>CENTRE DE SANTE TERRITORIAL DE LOUHANS</v>
      </c>
      <c r="F114" t="str">
        <f>"PLACE HECTOR BERLOZ"</f>
        <v>PLACE HECTOR BERLOZ</v>
      </c>
      <c r="H114" t="str">
        <f>"71500"</f>
        <v>71500</v>
      </c>
      <c r="I114" t="str">
        <f>"LOUHANS"</f>
        <v>LOUHANS</v>
      </c>
      <c r="L114" s="1">
        <v>44952</v>
      </c>
      <c r="M114" t="str">
        <f t="shared" si="14"/>
        <v>124</v>
      </c>
      <c r="N114" t="str">
        <f t="shared" si="15"/>
        <v>Centre de Santé</v>
      </c>
      <c r="O114" t="str">
        <f>"02"</f>
        <v>02</v>
      </c>
      <c r="P114" t="str">
        <f>"Département"</f>
        <v>Département</v>
      </c>
      <c r="Q114" t="str">
        <f t="shared" si="20"/>
        <v>36</v>
      </c>
      <c r="R114" t="str">
        <f t="shared" si="21"/>
        <v>Tarifs conventionnels assurance maladie</v>
      </c>
      <c r="U114" t="str">
        <f>"710015694"</f>
        <v>710015694</v>
      </c>
    </row>
    <row r="115" spans="1:21" x14ac:dyDescent="0.3">
      <c r="A115" t="str">
        <f>"140034190"</f>
        <v>140034190</v>
      </c>
      <c r="B115" t="str">
        <f>"200 054 641 00010"</f>
        <v>200 054 641 00010</v>
      </c>
      <c r="D115" t="str">
        <f>"CENTRE DE SANTE DE VALDALLIERE"</f>
        <v>CENTRE DE SANTE DE VALDALLIERE</v>
      </c>
      <c r="F115" t="str">
        <f>"8 RUE MARCEL LEPAGE"</f>
        <v>8 RUE MARCEL LEPAGE</v>
      </c>
      <c r="H115" t="str">
        <f>"14410"</f>
        <v>14410</v>
      </c>
      <c r="I115" t="str">
        <f>"VALDALLIERE"</f>
        <v>VALDALLIERE</v>
      </c>
      <c r="J115" t="str">
        <f>"02 31 67 94 65 "</f>
        <v xml:space="preserve">02 31 67 94 65 </v>
      </c>
      <c r="L115" s="1">
        <v>44949</v>
      </c>
      <c r="M115" t="str">
        <f t="shared" si="14"/>
        <v>124</v>
      </c>
      <c r="N115" t="str">
        <f t="shared" si="15"/>
        <v>Centre de Santé</v>
      </c>
      <c r="O115" t="str">
        <f>"03"</f>
        <v>03</v>
      </c>
      <c r="P115" t="str">
        <f>"Commune"</f>
        <v>Commune</v>
      </c>
      <c r="Q115" t="str">
        <f t="shared" si="20"/>
        <v>36</v>
      </c>
      <c r="R115" t="str">
        <f t="shared" si="21"/>
        <v>Tarifs conventionnels assurance maladie</v>
      </c>
      <c r="U115" t="str">
        <f>"140034182"</f>
        <v>140034182</v>
      </c>
    </row>
    <row r="116" spans="1:21" x14ac:dyDescent="0.3">
      <c r="A116" t="str">
        <f>"560031221"</f>
        <v>560031221</v>
      </c>
      <c r="B116" t="str">
        <f>"200 096 998 00014"</f>
        <v>200 096 998 00014</v>
      </c>
      <c r="D116" t="str">
        <f>"CDS SAINT-THURIAU"</f>
        <v>CDS SAINT-THURIAU</v>
      </c>
      <c r="F116" t="str">
        <f>"3 RUE DES OISEAUX"</f>
        <v>3 RUE DES OISEAUX</v>
      </c>
      <c r="H116" t="str">
        <f>"56300"</f>
        <v>56300</v>
      </c>
      <c r="I116" t="str">
        <f>"ST THURIAU"</f>
        <v>ST THURIAU</v>
      </c>
      <c r="J116" t="str">
        <f>"02 97 25 12 52 "</f>
        <v xml:space="preserve">02 97 25 12 52 </v>
      </c>
      <c r="L116" s="1">
        <v>44949</v>
      </c>
      <c r="M116" t="str">
        <f t="shared" si="14"/>
        <v>124</v>
      </c>
      <c r="N116" t="str">
        <f t="shared" si="15"/>
        <v>Centre de Santé</v>
      </c>
      <c r="O116" t="str">
        <f>"03"</f>
        <v>03</v>
      </c>
      <c r="P116" t="str">
        <f>"Commune"</f>
        <v>Commune</v>
      </c>
      <c r="Q116" t="str">
        <f t="shared" si="20"/>
        <v>36</v>
      </c>
      <c r="R116" t="str">
        <f t="shared" si="21"/>
        <v>Tarifs conventionnels assurance maladie</v>
      </c>
      <c r="U116" t="str">
        <f>"560031213"</f>
        <v>560031213</v>
      </c>
    </row>
    <row r="117" spans="1:21" x14ac:dyDescent="0.3">
      <c r="A117" t="str">
        <f>"690052477"</f>
        <v>690052477</v>
      </c>
      <c r="B117" t="str">
        <f>"914 856 828 00027"</f>
        <v>914 856 828 00027</v>
      </c>
      <c r="D117" t="str">
        <f>"CENTRE DE SANTE DENTAIRE ELISE LYON"</f>
        <v>CENTRE DE SANTE DENTAIRE ELISE LYON</v>
      </c>
      <c r="F117" t="str">
        <f>"321 AVENUE BERTHELOT"</f>
        <v>321 AVENUE BERTHELOT</v>
      </c>
      <c r="H117" t="str">
        <f>"69008"</f>
        <v>69008</v>
      </c>
      <c r="I117" t="str">
        <f>"LYON"</f>
        <v>LYON</v>
      </c>
      <c r="L117" s="1">
        <v>44949</v>
      </c>
      <c r="M117" t="str">
        <f t="shared" si="14"/>
        <v>124</v>
      </c>
      <c r="N117" t="str">
        <f t="shared" si="15"/>
        <v>Centre de Santé</v>
      </c>
      <c r="O117" t="str">
        <f t="shared" ref="O117:O124" si="22">"60"</f>
        <v>60</v>
      </c>
      <c r="P117" t="str">
        <f t="shared" ref="P117:P124" si="23">"Association Loi 1901 non Reconnue d'Utilité Publique"</f>
        <v>Association Loi 1901 non Reconnue d'Utilité Publique</v>
      </c>
      <c r="Q117" t="str">
        <f t="shared" si="20"/>
        <v>36</v>
      </c>
      <c r="R117" t="str">
        <f t="shared" si="21"/>
        <v>Tarifs conventionnels assurance maladie</v>
      </c>
      <c r="U117" t="str">
        <f>"950047324"</f>
        <v>950047324</v>
      </c>
    </row>
    <row r="118" spans="1:21" x14ac:dyDescent="0.3">
      <c r="A118" t="str">
        <f>"910026764"</f>
        <v>910026764</v>
      </c>
      <c r="B118" t="str">
        <f>"912 514 239 00017"</f>
        <v>912 514 239 00017</v>
      </c>
      <c r="D118" t="str">
        <f>"CDS ATHIS MONS"</f>
        <v>CDS ATHIS MONS</v>
      </c>
      <c r="F118" t="str">
        <f>"13 RUE DES FROIDES BOUILLIES"</f>
        <v>13 RUE DES FROIDES BOUILLIES</v>
      </c>
      <c r="H118" t="str">
        <f>"91200"</f>
        <v>91200</v>
      </c>
      <c r="I118" t="str">
        <f>"ATHIS MONS"</f>
        <v>ATHIS MONS</v>
      </c>
      <c r="J118" t="str">
        <f>"01 86 64 15 04 "</f>
        <v xml:space="preserve">01 86 64 15 04 </v>
      </c>
      <c r="L118" s="1">
        <v>44949</v>
      </c>
      <c r="M118" t="str">
        <f t="shared" si="14"/>
        <v>124</v>
      </c>
      <c r="N118" t="str">
        <f t="shared" si="15"/>
        <v>Centre de Santé</v>
      </c>
      <c r="O118" t="str">
        <f t="shared" si="22"/>
        <v>60</v>
      </c>
      <c r="P118" t="str">
        <f t="shared" si="23"/>
        <v>Association Loi 1901 non Reconnue d'Utilité Publique</v>
      </c>
      <c r="Q118" t="str">
        <f t="shared" si="20"/>
        <v>36</v>
      </c>
      <c r="R118" t="str">
        <f t="shared" si="21"/>
        <v>Tarifs conventionnels assurance maladie</v>
      </c>
      <c r="U118" t="str">
        <f>"910026756"</f>
        <v>910026756</v>
      </c>
    </row>
    <row r="119" spans="1:21" x14ac:dyDescent="0.3">
      <c r="A119" t="str">
        <f>"310034475"</f>
        <v>310034475</v>
      </c>
      <c r="B119" t="str">
        <f>"910 940 485 00014"</f>
        <v>910 940 485 00014</v>
      </c>
      <c r="D119" t="str">
        <f>"CENTRE DE SANTÉ MEDIKSANTE TOULOUSE"</f>
        <v>CENTRE DE SANTÉ MEDIKSANTE TOULOUSE</v>
      </c>
      <c r="F119" t="str">
        <f>"23 RUE DU LANGUEDOC"</f>
        <v>23 RUE DU LANGUEDOC</v>
      </c>
      <c r="H119" t="str">
        <f>"31000"</f>
        <v>31000</v>
      </c>
      <c r="I119" t="str">
        <f>"TOULOUSE"</f>
        <v>TOULOUSE</v>
      </c>
      <c r="J119" t="str">
        <f>"07 52 57 50 10 "</f>
        <v xml:space="preserve">07 52 57 50 10 </v>
      </c>
      <c r="L119" s="1">
        <v>44942</v>
      </c>
      <c r="M119" t="str">
        <f t="shared" si="14"/>
        <v>124</v>
      </c>
      <c r="N119" t="str">
        <f t="shared" si="15"/>
        <v>Centre de Santé</v>
      </c>
      <c r="O119" t="str">
        <f t="shared" si="22"/>
        <v>60</v>
      </c>
      <c r="P119" t="str">
        <f t="shared" si="23"/>
        <v>Association Loi 1901 non Reconnue d'Utilité Publique</v>
      </c>
      <c r="Q119" t="str">
        <f t="shared" si="20"/>
        <v>36</v>
      </c>
      <c r="R119" t="str">
        <f t="shared" si="21"/>
        <v>Tarifs conventionnels assurance maladie</v>
      </c>
      <c r="U119" t="str">
        <f>"310034467"</f>
        <v>310034467</v>
      </c>
    </row>
    <row r="120" spans="1:21" x14ac:dyDescent="0.3">
      <c r="A120" t="str">
        <f>"640021572"</f>
        <v>640021572</v>
      </c>
      <c r="B120" t="str">
        <f>"830 073 276 00313"</f>
        <v>830 073 276 00313</v>
      </c>
      <c r="D120" t="str">
        <f>"CDS DENTAIRE DU GRAND BAYONNE"</f>
        <v>CDS DENTAIRE DU GRAND BAYONNE</v>
      </c>
      <c r="F120" t="str">
        <f>"34 RUE JULES LABAT"</f>
        <v>34 RUE JULES LABAT</v>
      </c>
      <c r="H120" t="str">
        <f>"64100"</f>
        <v>64100</v>
      </c>
      <c r="I120" t="str">
        <f>"BAYONNE"</f>
        <v>BAYONNE</v>
      </c>
      <c r="J120" t="str">
        <f>"01 85 11 10 11 "</f>
        <v xml:space="preserve">01 85 11 10 11 </v>
      </c>
      <c r="L120" s="1">
        <v>44942</v>
      </c>
      <c r="M120" t="str">
        <f t="shared" si="14"/>
        <v>124</v>
      </c>
      <c r="N120" t="str">
        <f t="shared" si="15"/>
        <v>Centre de Santé</v>
      </c>
      <c r="O120" t="str">
        <f t="shared" si="22"/>
        <v>60</v>
      </c>
      <c r="P120" t="str">
        <f t="shared" si="23"/>
        <v>Association Loi 1901 non Reconnue d'Utilité Publique</v>
      </c>
      <c r="Q120" t="str">
        <f t="shared" si="20"/>
        <v>36</v>
      </c>
      <c r="R120" t="str">
        <f t="shared" si="21"/>
        <v>Tarifs conventionnels assurance maladie</v>
      </c>
      <c r="U120" t="str">
        <f>"750060345"</f>
        <v>750060345</v>
      </c>
    </row>
    <row r="121" spans="1:21" x14ac:dyDescent="0.3">
      <c r="A121" t="str">
        <f>"930032818"</f>
        <v>930032818</v>
      </c>
      <c r="B121" t="str">
        <f>"918 649 831 00016"</f>
        <v>918 649 831 00016</v>
      </c>
      <c r="D121" t="str">
        <f>"CDS DENTAIRE PAVILLONS SOUS BOIS"</f>
        <v>CDS DENTAIRE PAVILLONS SOUS BOIS</v>
      </c>
      <c r="F121" t="str">
        <f>"127 ALLEE JULES AUFFRET"</f>
        <v>127 ALLEE JULES AUFFRET</v>
      </c>
      <c r="H121" t="str">
        <f>"93320"</f>
        <v>93320</v>
      </c>
      <c r="I121" t="str">
        <f>"LES PAVILLONS SOUS BOIS"</f>
        <v>LES PAVILLONS SOUS BOIS</v>
      </c>
      <c r="J121" t="str">
        <f>"01 86 64 15 34 "</f>
        <v xml:space="preserve">01 86 64 15 34 </v>
      </c>
      <c r="L121" s="1">
        <v>44942</v>
      </c>
      <c r="M121" t="str">
        <f t="shared" si="14"/>
        <v>124</v>
      </c>
      <c r="N121" t="str">
        <f t="shared" si="15"/>
        <v>Centre de Santé</v>
      </c>
      <c r="O121" t="str">
        <f t="shared" si="22"/>
        <v>60</v>
      </c>
      <c r="P121" t="str">
        <f t="shared" si="23"/>
        <v>Association Loi 1901 non Reconnue d'Utilité Publique</v>
      </c>
      <c r="Q121" t="str">
        <f t="shared" si="20"/>
        <v>36</v>
      </c>
      <c r="R121" t="str">
        <f t="shared" si="21"/>
        <v>Tarifs conventionnels assurance maladie</v>
      </c>
      <c r="U121" t="str">
        <f>"930032800"</f>
        <v>930032800</v>
      </c>
    </row>
    <row r="122" spans="1:21" x14ac:dyDescent="0.3">
      <c r="A122" t="str">
        <f>"340029321"</f>
        <v>340029321</v>
      </c>
      <c r="B122" t="str">
        <f>"850 579 335 00041"</f>
        <v>850 579 335 00041</v>
      </c>
      <c r="D122" t="str">
        <f>"CENTRE DE SANTE DENTAIRE CORUM"</f>
        <v>CENTRE DE SANTE DENTAIRE CORUM</v>
      </c>
      <c r="F122" t="str">
        <f>"15 RUE DU FAUBOURG DE NIMES"</f>
        <v>15 RUE DU FAUBOURG DE NIMES</v>
      </c>
      <c r="H122" t="str">
        <f>"34000"</f>
        <v>34000</v>
      </c>
      <c r="I122" t="str">
        <f>"MONTPELLIER"</f>
        <v>MONTPELLIER</v>
      </c>
      <c r="L122" s="1">
        <v>44936</v>
      </c>
      <c r="M122" t="str">
        <f t="shared" si="14"/>
        <v>124</v>
      </c>
      <c r="N122" t="str">
        <f t="shared" si="15"/>
        <v>Centre de Santé</v>
      </c>
      <c r="O122" t="str">
        <f t="shared" si="22"/>
        <v>60</v>
      </c>
      <c r="P122" t="str">
        <f t="shared" si="23"/>
        <v>Association Loi 1901 non Reconnue d'Utilité Publique</v>
      </c>
      <c r="Q122" t="str">
        <f t="shared" si="20"/>
        <v>36</v>
      </c>
      <c r="R122" t="str">
        <f t="shared" si="21"/>
        <v>Tarifs conventionnels assurance maladie</v>
      </c>
      <c r="U122" t="str">
        <f>"340029313"</f>
        <v>340029313</v>
      </c>
    </row>
    <row r="123" spans="1:21" x14ac:dyDescent="0.3">
      <c r="A123" t="str">
        <f>"060031259"</f>
        <v>060031259</v>
      </c>
      <c r="B123" t="str">
        <f>"908 018 229 00017"</f>
        <v>908 018 229 00017</v>
      </c>
      <c r="D123" t="str">
        <f>"CDS DENTAIRE NICE TRINITE"</f>
        <v>CDS DENTAIRE NICE TRINITE</v>
      </c>
      <c r="F123" t="str">
        <f>"ROUTE DE LAGHET"</f>
        <v>ROUTE DE LAGHET</v>
      </c>
      <c r="H123" t="str">
        <f>"06340"</f>
        <v>06340</v>
      </c>
      <c r="I123" t="str">
        <f>"LA TRINITE"</f>
        <v>LA TRINITE</v>
      </c>
      <c r="J123" t="str">
        <f>"04 89 41 73 09 "</f>
        <v xml:space="preserve">04 89 41 73 09 </v>
      </c>
      <c r="L123" s="1">
        <v>44935</v>
      </c>
      <c r="M123" t="str">
        <f t="shared" si="14"/>
        <v>124</v>
      </c>
      <c r="N123" t="str">
        <f t="shared" si="15"/>
        <v>Centre de Santé</v>
      </c>
      <c r="O123" t="str">
        <f t="shared" si="22"/>
        <v>60</v>
      </c>
      <c r="P123" t="str">
        <f t="shared" si="23"/>
        <v>Association Loi 1901 non Reconnue d'Utilité Publique</v>
      </c>
      <c r="Q123" t="str">
        <f t="shared" si="20"/>
        <v>36</v>
      </c>
      <c r="R123" t="str">
        <f t="shared" si="21"/>
        <v>Tarifs conventionnels assurance maladie</v>
      </c>
      <c r="U123" t="str">
        <f>"060031242"</f>
        <v>060031242</v>
      </c>
    </row>
    <row r="124" spans="1:21" x14ac:dyDescent="0.3">
      <c r="A124" t="str">
        <f>"270030489"</f>
        <v>270030489</v>
      </c>
      <c r="B124" t="str">
        <f>"914 677 992 00010"</f>
        <v>914 677 992 00010</v>
      </c>
      <c r="D124" t="str">
        <f>"CENTRE DE SANTE VERNON"</f>
        <v>CENTRE DE SANTE VERNON</v>
      </c>
      <c r="F124" t="str">
        <f>"14 PLACE DE L'ANCIENNE HALLE"</f>
        <v>14 PLACE DE L'ANCIENNE HALLE</v>
      </c>
      <c r="H124" t="str">
        <f>"27200"</f>
        <v>27200</v>
      </c>
      <c r="I124" t="str">
        <f>"VERNON"</f>
        <v>VERNON</v>
      </c>
      <c r="J124" t="str">
        <f>"07 69 56 26 52 "</f>
        <v xml:space="preserve">07 69 56 26 52 </v>
      </c>
      <c r="L124" s="1">
        <v>44935</v>
      </c>
      <c r="M124" t="str">
        <f t="shared" si="14"/>
        <v>124</v>
      </c>
      <c r="N124" t="str">
        <f t="shared" si="15"/>
        <v>Centre de Santé</v>
      </c>
      <c r="O124" t="str">
        <f t="shared" si="22"/>
        <v>60</v>
      </c>
      <c r="P124" t="str">
        <f t="shared" si="23"/>
        <v>Association Loi 1901 non Reconnue d'Utilité Publique</v>
      </c>
      <c r="Q124" t="str">
        <f t="shared" si="20"/>
        <v>36</v>
      </c>
      <c r="R124" t="str">
        <f t="shared" si="21"/>
        <v>Tarifs conventionnels assurance maladie</v>
      </c>
      <c r="U124" t="str">
        <f>"750071433"</f>
        <v>750071433</v>
      </c>
    </row>
    <row r="125" spans="1:21" x14ac:dyDescent="0.3">
      <c r="A125" t="str">
        <f>"590068573"</f>
        <v>590068573</v>
      </c>
      <c r="B125" t="str">
        <f>"913 395 802 00014"</f>
        <v>913 395 802 00014</v>
      </c>
      <c r="D125" t="str">
        <f>"CSP INWECARE"</f>
        <v>CSP INWECARE</v>
      </c>
      <c r="F125" t="str">
        <f>"17 RUE DE ROUBAIX"</f>
        <v>17 RUE DE ROUBAIX</v>
      </c>
      <c r="H125" t="str">
        <f>"59800"</f>
        <v>59800</v>
      </c>
      <c r="I125" t="str">
        <f>"LILLE"</f>
        <v>LILLE</v>
      </c>
      <c r="J125" t="str">
        <f>"01 77 39 26 39 "</f>
        <v xml:space="preserve">01 77 39 26 39 </v>
      </c>
      <c r="L125" s="1">
        <v>44935</v>
      </c>
      <c r="M125" t="str">
        <f t="shared" si="14"/>
        <v>124</v>
      </c>
      <c r="N125" t="str">
        <f t="shared" si="15"/>
        <v>Centre de Santé</v>
      </c>
      <c r="O125" t="str">
        <f>"61"</f>
        <v>61</v>
      </c>
      <c r="P125" t="str">
        <f>"Association Loi 1901 Reconnue d'Utilité Publique"</f>
        <v>Association Loi 1901 Reconnue d'Utilité Publique</v>
      </c>
      <c r="Q125" t="str">
        <f t="shared" si="20"/>
        <v>36</v>
      </c>
      <c r="R125" t="str">
        <f t="shared" si="21"/>
        <v>Tarifs conventionnels assurance maladie</v>
      </c>
      <c r="U125" t="str">
        <f>"590068565"</f>
        <v>590068565</v>
      </c>
    </row>
    <row r="126" spans="1:21" x14ac:dyDescent="0.3">
      <c r="A126" t="str">
        <f>"640021614"</f>
        <v>640021614</v>
      </c>
      <c r="B126" t="str">
        <f>"901 540 310 00017"</f>
        <v>901 540 310 00017</v>
      </c>
      <c r="D126" t="str">
        <f>"CDS DENTAIRE VERTUO SAINT JEAN DE LUZ"</f>
        <v>CDS DENTAIRE VERTUO SAINT JEAN DE LUZ</v>
      </c>
      <c r="E126" t="str">
        <f>"CTRE CIAL CARREFOUR SAINT JEAN"</f>
        <v>CTRE CIAL CARREFOUR SAINT JEAN</v>
      </c>
      <c r="F126" t="str">
        <f>"20 ZONE INDUSTRIELLE DE JALDAY"</f>
        <v>20 ZONE INDUSTRIELLE DE JALDAY</v>
      </c>
      <c r="H126" t="str">
        <f>"64500"</f>
        <v>64500</v>
      </c>
      <c r="I126" t="str">
        <f>"ST JEAN DE LUZ"</f>
        <v>ST JEAN DE LUZ</v>
      </c>
      <c r="J126" t="str">
        <f>"06 79 84 20 31 "</f>
        <v xml:space="preserve">06 79 84 20 31 </v>
      </c>
      <c r="L126" s="1">
        <v>44935</v>
      </c>
      <c r="M126" t="str">
        <f t="shared" si="14"/>
        <v>124</v>
      </c>
      <c r="N126" t="str">
        <f t="shared" si="15"/>
        <v>Centre de Santé</v>
      </c>
      <c r="O126" t="str">
        <f>"60"</f>
        <v>60</v>
      </c>
      <c r="P126" t="str">
        <f>"Association Loi 1901 non Reconnue d'Utilité Publique"</f>
        <v>Association Loi 1901 non Reconnue d'Utilité Publique</v>
      </c>
      <c r="Q126" t="str">
        <f t="shared" si="20"/>
        <v>36</v>
      </c>
      <c r="R126" t="str">
        <f t="shared" si="21"/>
        <v>Tarifs conventionnels assurance maladie</v>
      </c>
      <c r="U126" t="str">
        <f>"640021606"</f>
        <v>640021606</v>
      </c>
    </row>
    <row r="127" spans="1:21" x14ac:dyDescent="0.3">
      <c r="A127" t="str">
        <f>"670021930"</f>
        <v>670021930</v>
      </c>
      <c r="B127" t="str">
        <f>"914 712 229 00022"</f>
        <v>914 712 229 00022</v>
      </c>
      <c r="D127" t="str">
        <f>"CENTRE DE SANTE INWECARE STRASBOURG"</f>
        <v>CENTRE DE SANTE INWECARE STRASBOURG</v>
      </c>
      <c r="F127" t="str">
        <f>"26 RUE DE LA MESANGE"</f>
        <v>26 RUE DE LA MESANGE</v>
      </c>
      <c r="H127" t="str">
        <f>"67000"</f>
        <v>67000</v>
      </c>
      <c r="I127" t="str">
        <f>"STRASBOURG"</f>
        <v>STRASBOURG</v>
      </c>
      <c r="J127" t="str">
        <f>"03 10 45 12 45 "</f>
        <v xml:space="preserve">03 10 45 12 45 </v>
      </c>
      <c r="L127" s="1">
        <v>44935</v>
      </c>
      <c r="M127" t="str">
        <f t="shared" si="14"/>
        <v>124</v>
      </c>
      <c r="N127" t="str">
        <f t="shared" si="15"/>
        <v>Centre de Santé</v>
      </c>
      <c r="O127" t="str">
        <f>"60"</f>
        <v>60</v>
      </c>
      <c r="P127" t="str">
        <f>"Association Loi 1901 non Reconnue d'Utilité Publique"</f>
        <v>Association Loi 1901 non Reconnue d'Utilité Publique</v>
      </c>
      <c r="Q127" t="str">
        <f t="shared" si="20"/>
        <v>36</v>
      </c>
      <c r="R127" t="str">
        <f t="shared" si="21"/>
        <v>Tarifs conventionnels assurance maladie</v>
      </c>
      <c r="U127" t="str">
        <f>"750070997"</f>
        <v>750070997</v>
      </c>
    </row>
    <row r="128" spans="1:21" x14ac:dyDescent="0.3">
      <c r="A128" t="str">
        <f>"680023496"</f>
        <v>680023496</v>
      </c>
      <c r="B128" t="str">
        <f>"216 801 357 00080"</f>
        <v>216 801 357 00080</v>
      </c>
      <c r="D128" t="str">
        <f>"CENTRE DE SANTE MUNICIPAL DE HESINGUE"</f>
        <v>CENTRE DE SANTE MUNICIPAL DE HESINGUE</v>
      </c>
      <c r="F128" t="str">
        <f>"24 RUE DE SAINT LOUIS"</f>
        <v>24 RUE DE SAINT LOUIS</v>
      </c>
      <c r="H128" t="str">
        <f>"68220"</f>
        <v>68220</v>
      </c>
      <c r="I128" t="str">
        <f>"HESINGUE"</f>
        <v>HESINGUE</v>
      </c>
      <c r="J128" t="str">
        <f>"03 89 67 03 89 "</f>
        <v xml:space="preserve">03 89 67 03 89 </v>
      </c>
      <c r="L128" s="1">
        <v>44935</v>
      </c>
      <c r="M128" t="str">
        <f t="shared" si="14"/>
        <v>124</v>
      </c>
      <c r="N128" t="str">
        <f t="shared" si="15"/>
        <v>Centre de Santé</v>
      </c>
      <c r="O128" t="str">
        <f>"03"</f>
        <v>03</v>
      </c>
      <c r="P128" t="str">
        <f>"Commune"</f>
        <v>Commune</v>
      </c>
      <c r="Q128" t="str">
        <f t="shared" si="20"/>
        <v>36</v>
      </c>
      <c r="R128" t="str">
        <f t="shared" si="21"/>
        <v>Tarifs conventionnels assurance maladie</v>
      </c>
      <c r="U128" t="str">
        <f>"680023488"</f>
        <v>680023488</v>
      </c>
    </row>
    <row r="129" spans="1:21" x14ac:dyDescent="0.3">
      <c r="A129" t="str">
        <f>"760040220"</f>
        <v>760040220</v>
      </c>
      <c r="B129" t="str">
        <f>"781 124 714 00051"</f>
        <v>781 124 714 00051</v>
      </c>
      <c r="D129" t="str">
        <f>"CENTRE DE SANTE ADIR"</f>
        <v>CENTRE DE SANTE ADIR</v>
      </c>
      <c r="F129" t="str">
        <f>"18 RUE MARIE CURIE"</f>
        <v>18 RUE MARIE CURIE</v>
      </c>
      <c r="G129" t="str">
        <f>"BATIMENT ANIDER - 4ÈME ÉTAGE"</f>
        <v>BATIMENT ANIDER - 4ÈME ÉTAGE</v>
      </c>
      <c r="H129" t="str">
        <f>"76000"</f>
        <v>76000</v>
      </c>
      <c r="I129" t="str">
        <f>"ROUEN"</f>
        <v>ROUEN</v>
      </c>
      <c r="J129" t="str">
        <f>"02 35 59 29 70 "</f>
        <v xml:space="preserve">02 35 59 29 70 </v>
      </c>
      <c r="L129" s="1">
        <v>44935</v>
      </c>
      <c r="M129" t="str">
        <f t="shared" si="14"/>
        <v>124</v>
      </c>
      <c r="N129" t="str">
        <f t="shared" si="15"/>
        <v>Centre de Santé</v>
      </c>
      <c r="O129" t="str">
        <f>"60"</f>
        <v>60</v>
      </c>
      <c r="P129" t="str">
        <f>"Association Loi 1901 non Reconnue d'Utilité Publique"</f>
        <v>Association Loi 1901 non Reconnue d'Utilité Publique</v>
      </c>
      <c r="Q129" t="str">
        <f t="shared" si="20"/>
        <v>36</v>
      </c>
      <c r="R129" t="str">
        <f t="shared" si="21"/>
        <v>Tarifs conventionnels assurance maladie</v>
      </c>
      <c r="U129" t="str">
        <f>"760040212"</f>
        <v>760040212</v>
      </c>
    </row>
    <row r="130" spans="1:21" x14ac:dyDescent="0.3">
      <c r="A130" t="str">
        <f>"770026755"</f>
        <v>770026755</v>
      </c>
      <c r="B130" t="str">
        <f>"918 212 341 00013"</f>
        <v>918 212 341 00013</v>
      </c>
      <c r="D130" t="str">
        <f>"CDS DE MELUN"</f>
        <v>CDS DE MELUN</v>
      </c>
      <c r="F130" t="str">
        <f>"48 RUE SAINT ASPAIS"</f>
        <v>48 RUE SAINT ASPAIS</v>
      </c>
      <c r="H130" t="str">
        <f>"77000"</f>
        <v>77000</v>
      </c>
      <c r="I130" t="str">
        <f>"MELUN"</f>
        <v>MELUN</v>
      </c>
      <c r="J130" t="str">
        <f>"01 88 60 26 26 "</f>
        <v xml:space="preserve">01 88 60 26 26 </v>
      </c>
      <c r="L130" s="1">
        <v>44935</v>
      </c>
      <c r="M130" t="str">
        <f t="shared" ref="M130:M193" si="24">"124"</f>
        <v>124</v>
      </c>
      <c r="N130" t="str">
        <f t="shared" ref="N130:N193" si="25">"Centre de Santé"</f>
        <v>Centre de Santé</v>
      </c>
      <c r="O130" t="str">
        <f>"60"</f>
        <v>60</v>
      </c>
      <c r="P130" t="str">
        <f>"Association Loi 1901 non Reconnue d'Utilité Publique"</f>
        <v>Association Loi 1901 non Reconnue d'Utilité Publique</v>
      </c>
      <c r="Q130" t="str">
        <f t="shared" si="20"/>
        <v>36</v>
      </c>
      <c r="R130" t="str">
        <f t="shared" si="21"/>
        <v>Tarifs conventionnels assurance maladie</v>
      </c>
      <c r="U130" t="str">
        <f>"770026748"</f>
        <v>770026748</v>
      </c>
    </row>
    <row r="131" spans="1:21" x14ac:dyDescent="0.3">
      <c r="A131" t="str">
        <f>"930031984"</f>
        <v>930031984</v>
      </c>
      <c r="B131" t="str">
        <f>"910 114 453 00012"</f>
        <v>910 114 453 00012</v>
      </c>
      <c r="D131" t="str">
        <f>"CDS MEDICAL ET DENTAIRE DES 4 CHEMINS"</f>
        <v>CDS MEDICAL ET DENTAIRE DES 4 CHEMINS</v>
      </c>
      <c r="F131" t="str">
        <f>"78 AVENUE JEAN JAURES"</f>
        <v>78 AVENUE JEAN JAURES</v>
      </c>
      <c r="H131" t="str">
        <f>"93500"</f>
        <v>93500</v>
      </c>
      <c r="I131" t="str">
        <f>"PANTIN"</f>
        <v>PANTIN</v>
      </c>
      <c r="J131" t="str">
        <f>"06 09 90 26 26 "</f>
        <v xml:space="preserve">06 09 90 26 26 </v>
      </c>
      <c r="L131" s="1">
        <v>44935</v>
      </c>
      <c r="M131" t="str">
        <f t="shared" si="24"/>
        <v>124</v>
      </c>
      <c r="N131" t="str">
        <f t="shared" si="25"/>
        <v>Centre de Santé</v>
      </c>
      <c r="O131" t="str">
        <f>"60"</f>
        <v>60</v>
      </c>
      <c r="P131" t="str">
        <f>"Association Loi 1901 non Reconnue d'Utilité Publique"</f>
        <v>Association Loi 1901 non Reconnue d'Utilité Publique</v>
      </c>
      <c r="Q131" t="str">
        <f t="shared" si="20"/>
        <v>36</v>
      </c>
      <c r="R131" t="str">
        <f t="shared" si="21"/>
        <v>Tarifs conventionnels assurance maladie</v>
      </c>
      <c r="U131" t="str">
        <f>"930031976"</f>
        <v>930031976</v>
      </c>
    </row>
    <row r="132" spans="1:21" x14ac:dyDescent="0.3">
      <c r="A132" t="str">
        <f>"780029369"</f>
        <v>780029369</v>
      </c>
      <c r="B132" t="str">
        <f>"890 583 149 00012"</f>
        <v>890 583 149 00012</v>
      </c>
      <c r="D132" t="str">
        <f>"CDS MANTES BUCHELAY"</f>
        <v>CDS MANTES BUCHELAY</v>
      </c>
      <c r="F132" t="str">
        <f>"1 CHEMIN DEPARTEMENTAL 110"</f>
        <v>1 CHEMIN DEPARTEMENTAL 110</v>
      </c>
      <c r="G132" t="str">
        <f>"CCIAL AUSHOPPING"</f>
        <v>CCIAL AUSHOPPING</v>
      </c>
      <c r="H132" t="str">
        <f>"78200"</f>
        <v>78200</v>
      </c>
      <c r="I132" t="str">
        <f>"BUCHELAY"</f>
        <v>BUCHELAY</v>
      </c>
      <c r="J132" t="str">
        <f>"01 84 77 55 55 "</f>
        <v xml:space="preserve">01 84 77 55 55 </v>
      </c>
      <c r="L132" s="1">
        <v>44931</v>
      </c>
      <c r="M132" t="str">
        <f t="shared" si="24"/>
        <v>124</v>
      </c>
      <c r="N132" t="str">
        <f t="shared" si="25"/>
        <v>Centre de Santé</v>
      </c>
      <c r="O132" t="str">
        <f>"60"</f>
        <v>60</v>
      </c>
      <c r="P132" t="str">
        <f>"Association Loi 1901 non Reconnue d'Utilité Publique"</f>
        <v>Association Loi 1901 non Reconnue d'Utilité Publique</v>
      </c>
      <c r="Q132" t="str">
        <f t="shared" ref="Q132:Q163" si="26">"36"</f>
        <v>36</v>
      </c>
      <c r="R132" t="str">
        <f t="shared" ref="R132:R163" si="27">"Tarifs conventionnels assurance maladie"</f>
        <v>Tarifs conventionnels assurance maladie</v>
      </c>
      <c r="U132" t="str">
        <f>"780028148"</f>
        <v>780028148</v>
      </c>
    </row>
    <row r="133" spans="1:21" x14ac:dyDescent="0.3">
      <c r="A133" t="str">
        <f>"650006935"</f>
        <v>650006935</v>
      </c>
      <c r="B133" t="str">
        <f>"130 030 158 00062"</f>
        <v>130 030 158 00062</v>
      </c>
      <c r="D133" t="str">
        <f>"CDS MA REGION LOURES BAROUSSE"</f>
        <v>CDS MA REGION LOURES BAROUSSE</v>
      </c>
      <c r="F133" t="str">
        <f>"18 RUE NATIONALE"</f>
        <v>18 RUE NATIONALE</v>
      </c>
      <c r="H133" t="str">
        <f>"65370"</f>
        <v>65370</v>
      </c>
      <c r="I133" t="str">
        <f>"LOURES BAROUSSE"</f>
        <v>LOURES BAROUSSE</v>
      </c>
      <c r="L133" s="1">
        <v>44930</v>
      </c>
      <c r="M133" t="str">
        <f t="shared" si="24"/>
        <v>124</v>
      </c>
      <c r="N133" t="str">
        <f t="shared" si="25"/>
        <v>Centre de Santé</v>
      </c>
      <c r="O133" t="str">
        <f>"04"</f>
        <v>04</v>
      </c>
      <c r="P133" t="str">
        <f>"Région"</f>
        <v>Région</v>
      </c>
      <c r="Q133" t="str">
        <f t="shared" si="26"/>
        <v>36</v>
      </c>
      <c r="R133" t="str">
        <f t="shared" si="27"/>
        <v>Tarifs conventionnels assurance maladie</v>
      </c>
      <c r="U133" t="str">
        <f>"310034392"</f>
        <v>310034392</v>
      </c>
    </row>
    <row r="134" spans="1:21" x14ac:dyDescent="0.3">
      <c r="A134" t="str">
        <f>"750071177"</f>
        <v>750071177</v>
      </c>
      <c r="B134" t="str">
        <f>"914 711 700 00023"</f>
        <v>914 711 700 00023</v>
      </c>
      <c r="D134" t="str">
        <f>"CDS MÉDICAL ET DENTAIRE PARIS VOLTAIRE"</f>
        <v>CDS MÉDICAL ET DENTAIRE PARIS VOLTAIRE</v>
      </c>
      <c r="F134" t="str">
        <f>"206 BOULEVARD VOLTAIRE"</f>
        <v>206 BOULEVARD VOLTAIRE</v>
      </c>
      <c r="H134" t="str">
        <f>"75011"</f>
        <v>75011</v>
      </c>
      <c r="I134" t="str">
        <f>"PARIS"</f>
        <v>PARIS</v>
      </c>
      <c r="L134" s="1">
        <v>44930</v>
      </c>
      <c r="M134" t="str">
        <f t="shared" si="24"/>
        <v>124</v>
      </c>
      <c r="N134" t="str">
        <f t="shared" si="25"/>
        <v>Centre de Santé</v>
      </c>
      <c r="O134" t="str">
        <f>"60"</f>
        <v>60</v>
      </c>
      <c r="P134" t="str">
        <f>"Association Loi 1901 non Reconnue d'Utilité Publique"</f>
        <v>Association Loi 1901 non Reconnue d'Utilité Publique</v>
      </c>
      <c r="Q134" t="str">
        <f t="shared" si="26"/>
        <v>36</v>
      </c>
      <c r="R134" t="str">
        <f t="shared" si="27"/>
        <v>Tarifs conventionnels assurance maladie</v>
      </c>
      <c r="U134" t="str">
        <f>"750071169"</f>
        <v>750071169</v>
      </c>
    </row>
    <row r="135" spans="1:21" x14ac:dyDescent="0.3">
      <c r="A135" t="str">
        <f>"770026664"</f>
        <v>770026664</v>
      </c>
      <c r="B135" t="str">
        <f>"918 931 148 00012"</f>
        <v>918 931 148 00012</v>
      </c>
      <c r="D135" t="str">
        <f>"CDS DENTAIRE COLBERT MEAUX"</f>
        <v>CDS DENTAIRE COLBERT MEAUX</v>
      </c>
      <c r="F135" t="str">
        <f>"8 PLACE COLBERT"</f>
        <v>8 PLACE COLBERT</v>
      </c>
      <c r="H135" t="str">
        <f>"77100"</f>
        <v>77100</v>
      </c>
      <c r="I135" t="str">
        <f>"MEAUX"</f>
        <v>MEAUX</v>
      </c>
      <c r="J135" t="str">
        <f>"06 66 77 67 34 "</f>
        <v xml:space="preserve">06 66 77 67 34 </v>
      </c>
      <c r="L135" s="1">
        <v>44929</v>
      </c>
      <c r="M135" t="str">
        <f t="shared" si="24"/>
        <v>124</v>
      </c>
      <c r="N135" t="str">
        <f t="shared" si="25"/>
        <v>Centre de Santé</v>
      </c>
      <c r="O135" t="str">
        <f>"60"</f>
        <v>60</v>
      </c>
      <c r="P135" t="str">
        <f>"Association Loi 1901 non Reconnue d'Utilité Publique"</f>
        <v>Association Loi 1901 non Reconnue d'Utilité Publique</v>
      </c>
      <c r="Q135" t="str">
        <f t="shared" si="26"/>
        <v>36</v>
      </c>
      <c r="R135" t="str">
        <f t="shared" si="27"/>
        <v>Tarifs conventionnels assurance maladie</v>
      </c>
      <c r="U135" t="str">
        <f>"770026656"</f>
        <v>770026656</v>
      </c>
    </row>
    <row r="136" spans="1:21" x14ac:dyDescent="0.3">
      <c r="A136" t="str">
        <f>"130053184"</f>
        <v>130053184</v>
      </c>
      <c r="B136" t="str">
        <f>"911 186 013 00015"</f>
        <v>911 186 013 00015</v>
      </c>
      <c r="D136" t="str">
        <f>"CDS MEDICO-DENTAIRE LA JOLIETTE"</f>
        <v>CDS MEDICO-DENTAIRE LA JOLIETTE</v>
      </c>
      <c r="F136" t="str">
        <f>"102 BOULEVARD DES DAMES"</f>
        <v>102 BOULEVARD DES DAMES</v>
      </c>
      <c r="H136" t="str">
        <f>"13002"</f>
        <v>13002</v>
      </c>
      <c r="I136" t="str">
        <f>"MARSEILLE"</f>
        <v>MARSEILLE</v>
      </c>
      <c r="J136" t="str">
        <f>"06 50 07 05 10 "</f>
        <v xml:space="preserve">06 50 07 05 10 </v>
      </c>
      <c r="L136" s="1">
        <v>44928</v>
      </c>
      <c r="M136" t="str">
        <f t="shared" si="24"/>
        <v>124</v>
      </c>
      <c r="N136" t="str">
        <f t="shared" si="25"/>
        <v>Centre de Santé</v>
      </c>
      <c r="O136" t="str">
        <f>"60"</f>
        <v>60</v>
      </c>
      <c r="P136" t="str">
        <f>"Association Loi 1901 non Reconnue d'Utilité Publique"</f>
        <v>Association Loi 1901 non Reconnue d'Utilité Publique</v>
      </c>
      <c r="Q136" t="str">
        <f t="shared" si="26"/>
        <v>36</v>
      </c>
      <c r="R136" t="str">
        <f t="shared" si="27"/>
        <v>Tarifs conventionnels assurance maladie</v>
      </c>
      <c r="U136" t="str">
        <f>"130053176"</f>
        <v>130053176</v>
      </c>
    </row>
    <row r="137" spans="1:21" x14ac:dyDescent="0.3">
      <c r="A137" t="str">
        <f>"130053465"</f>
        <v>130053465</v>
      </c>
      <c r="B137" t="str">
        <f>"919 528 562 00011"</f>
        <v>919 528 562 00011</v>
      </c>
      <c r="D137" t="str">
        <f>"CDS OPHTALMOLOGIQUE BLANCARDE"</f>
        <v>CDS OPHTALMOLOGIQUE BLANCARDE</v>
      </c>
      <c r="F137" t="str">
        <f>"7 BOULEVARD DE LA BLANCARDE"</f>
        <v>7 BOULEVARD DE LA BLANCARDE</v>
      </c>
      <c r="H137" t="str">
        <f>"13004"</f>
        <v>13004</v>
      </c>
      <c r="I137" t="str">
        <f>"MARSEILLE"</f>
        <v>MARSEILLE</v>
      </c>
      <c r="L137" s="1">
        <v>44928</v>
      </c>
      <c r="M137" t="str">
        <f t="shared" si="24"/>
        <v>124</v>
      </c>
      <c r="N137" t="str">
        <f t="shared" si="25"/>
        <v>Centre de Santé</v>
      </c>
      <c r="O137" t="str">
        <f>"60"</f>
        <v>60</v>
      </c>
      <c r="P137" t="str">
        <f>"Association Loi 1901 non Reconnue d'Utilité Publique"</f>
        <v>Association Loi 1901 non Reconnue d'Utilité Publique</v>
      </c>
      <c r="Q137" t="str">
        <f t="shared" si="26"/>
        <v>36</v>
      </c>
      <c r="R137" t="str">
        <f t="shared" si="27"/>
        <v>Tarifs conventionnels assurance maladie</v>
      </c>
      <c r="U137" t="str">
        <f>"130053457"</f>
        <v>130053457</v>
      </c>
    </row>
    <row r="138" spans="1:21" x14ac:dyDescent="0.3">
      <c r="A138" t="str">
        <f>"540026879"</f>
        <v>540026879</v>
      </c>
      <c r="B138" t="str">
        <f>"775 615 537 00963"</f>
        <v>775 615 537 00963</v>
      </c>
      <c r="D138" t="str">
        <f>"CENTRE DE SANTE UTLM"</f>
        <v>CENTRE DE SANTE UTLM</v>
      </c>
      <c r="F138" t="str">
        <f>"12 RUE DES BOSQUETS"</f>
        <v>12 RUE DES BOSQUETS</v>
      </c>
      <c r="H138" t="str">
        <f>"54300"</f>
        <v>54300</v>
      </c>
      <c r="I138" t="str">
        <f>"LUNEVILLE"</f>
        <v>LUNEVILLE</v>
      </c>
      <c r="J138" t="str">
        <f>"03 56 66 10 10 "</f>
        <v xml:space="preserve">03 56 66 10 10 </v>
      </c>
      <c r="L138" s="1">
        <v>44928</v>
      </c>
      <c r="M138" t="str">
        <f t="shared" si="24"/>
        <v>124</v>
      </c>
      <c r="N138" t="str">
        <f t="shared" si="25"/>
        <v>Centre de Santé</v>
      </c>
      <c r="O138" t="str">
        <f>"47"</f>
        <v>47</v>
      </c>
      <c r="P138" t="str">
        <f>"Société Mutualiste"</f>
        <v>Société Mutualiste</v>
      </c>
      <c r="Q138" t="str">
        <f t="shared" si="26"/>
        <v>36</v>
      </c>
      <c r="R138" t="str">
        <f t="shared" si="27"/>
        <v>Tarifs conventionnels assurance maladie</v>
      </c>
      <c r="U138" t="str">
        <f>"540013042"</f>
        <v>540013042</v>
      </c>
    </row>
    <row r="139" spans="1:21" x14ac:dyDescent="0.3">
      <c r="A139" t="str">
        <f>"670021963"</f>
        <v>670021963</v>
      </c>
      <c r="B139" t="str">
        <f>"311 127 781 00160"</f>
        <v>311 127 781 00160</v>
      </c>
      <c r="D139" t="str">
        <f>"CDS DENTAIRE FONDATION SAINT FRANÇOIS"</f>
        <v>CDS DENTAIRE FONDATION SAINT FRANÇOIS</v>
      </c>
      <c r="E139" t="str">
        <f>"1-5"</f>
        <v>1-5</v>
      </c>
      <c r="F139" t="str">
        <f>"1 RUE COLOMÉ"</f>
        <v>1 RUE COLOMÉ</v>
      </c>
      <c r="H139" t="str">
        <f>"67500"</f>
        <v>67500</v>
      </c>
      <c r="I139" t="str">
        <f>"HAGUENAU"</f>
        <v>HAGUENAU</v>
      </c>
      <c r="J139" t="str">
        <f>"03 88 30 19 00 "</f>
        <v xml:space="preserve">03 88 30 19 00 </v>
      </c>
      <c r="L139" s="1">
        <v>44928</v>
      </c>
      <c r="M139" t="str">
        <f t="shared" si="24"/>
        <v>124</v>
      </c>
      <c r="N139" t="str">
        <f t="shared" si="25"/>
        <v>Centre de Santé</v>
      </c>
      <c r="O139" t="str">
        <f>"63"</f>
        <v>63</v>
      </c>
      <c r="P139" t="str">
        <f>"Fondation"</f>
        <v>Fondation</v>
      </c>
      <c r="Q139" t="str">
        <f t="shared" si="26"/>
        <v>36</v>
      </c>
      <c r="R139" t="str">
        <f t="shared" si="27"/>
        <v>Tarifs conventionnels assurance maladie</v>
      </c>
      <c r="U139" t="str">
        <f>"670000785"</f>
        <v>670000785</v>
      </c>
    </row>
    <row r="140" spans="1:21" x14ac:dyDescent="0.3">
      <c r="A140" t="str">
        <f>"690044409"</f>
        <v>690044409</v>
      </c>
      <c r="B140" t="str">
        <f>"196 917 751 00220"</f>
        <v>196 917 751 00220</v>
      </c>
      <c r="D140" t="str">
        <f>"CENTRE DE SANTE DE L'UNIV LYON 2 - PDA"</f>
        <v>CENTRE DE SANTE DE L'UNIV LYON 2 - PDA</v>
      </c>
      <c r="E140" t="str">
        <f>"CAMPUS PORTE DES ALPES"</f>
        <v>CAMPUS PORTE DES ALPES</v>
      </c>
      <c r="F140" t="str">
        <f>"160 BOULEVARD DE L'UNIVERSITE"</f>
        <v>160 BOULEVARD DE L'UNIVERSITE</v>
      </c>
      <c r="H140" t="str">
        <f>"69500"</f>
        <v>69500</v>
      </c>
      <c r="I140" t="str">
        <f>"BRON"</f>
        <v>BRON</v>
      </c>
      <c r="J140" t="str">
        <f>"04 78 77 43 10 "</f>
        <v xml:space="preserve">04 78 77 43 10 </v>
      </c>
      <c r="L140" s="1">
        <v>44928</v>
      </c>
      <c r="M140" t="str">
        <f t="shared" si="24"/>
        <v>124</v>
      </c>
      <c r="N140" t="str">
        <f t="shared" si="25"/>
        <v>Centre de Santé</v>
      </c>
      <c r="O140" t="str">
        <f>"26"</f>
        <v>26</v>
      </c>
      <c r="P140" t="str">
        <f>"Autre Etablissement Public à Caractère Administratif"</f>
        <v>Autre Etablissement Public à Caractère Administratif</v>
      </c>
      <c r="Q140" t="str">
        <f t="shared" si="26"/>
        <v>36</v>
      </c>
      <c r="R140" t="str">
        <f t="shared" si="27"/>
        <v>Tarifs conventionnels assurance maladie</v>
      </c>
      <c r="U140" t="str">
        <f>"690044375"</f>
        <v>690044375</v>
      </c>
    </row>
    <row r="141" spans="1:21" x14ac:dyDescent="0.3">
      <c r="A141" t="str">
        <f>"690048459"</f>
        <v>690048459</v>
      </c>
      <c r="B141" t="str">
        <f>"880 062 005 00025"</f>
        <v>880 062 005 00025</v>
      </c>
      <c r="D141" t="str">
        <f>"CENTRE DE SANTE DENTAIRE DE LA SOIE"</f>
        <v>CENTRE DE SANTE DENTAIRE DE LA SOIE</v>
      </c>
      <c r="F141" t="str">
        <f>"228 RUE LEON BLUM"</f>
        <v>228 RUE LEON BLUM</v>
      </c>
      <c r="H141" t="str">
        <f>"69100"</f>
        <v>69100</v>
      </c>
      <c r="I141" t="str">
        <f>"VILLEURBANNE"</f>
        <v>VILLEURBANNE</v>
      </c>
      <c r="L141" s="1">
        <v>44928</v>
      </c>
      <c r="M141" t="str">
        <f t="shared" si="24"/>
        <v>124</v>
      </c>
      <c r="N141" t="str">
        <f t="shared" si="25"/>
        <v>Centre de Santé</v>
      </c>
      <c r="O141" t="str">
        <f t="shared" ref="O141:O147" si="28">"60"</f>
        <v>60</v>
      </c>
      <c r="P141" t="str">
        <f t="shared" ref="P141:P147" si="29">"Association Loi 1901 non Reconnue d'Utilité Publique"</f>
        <v>Association Loi 1901 non Reconnue d'Utilité Publique</v>
      </c>
      <c r="Q141" t="str">
        <f t="shared" si="26"/>
        <v>36</v>
      </c>
      <c r="R141" t="str">
        <f t="shared" si="27"/>
        <v>Tarifs conventionnels assurance maladie</v>
      </c>
      <c r="U141" t="str">
        <f>"690048442"</f>
        <v>690048442</v>
      </c>
    </row>
    <row r="142" spans="1:21" x14ac:dyDescent="0.3">
      <c r="A142" t="str">
        <f>"750069411"</f>
        <v>750069411</v>
      </c>
      <c r="B142" t="str">
        <f>"904 517 976 00018"</f>
        <v>904 517 976 00018</v>
      </c>
      <c r="D142" t="str">
        <f>"CDS CITY SANTE PARIS 15"</f>
        <v>CDS CITY SANTE PARIS 15</v>
      </c>
      <c r="F142" t="str">
        <f>"128 AVENUE FELIX FAURE"</f>
        <v>128 AVENUE FELIX FAURE</v>
      </c>
      <c r="H142" t="str">
        <f>"75015"</f>
        <v>75015</v>
      </c>
      <c r="I142" t="str">
        <f>"PARIS"</f>
        <v>PARIS</v>
      </c>
      <c r="J142" t="str">
        <f>"01 44 26 44 26 "</f>
        <v xml:space="preserve">01 44 26 44 26 </v>
      </c>
      <c r="L142" s="1">
        <v>44928</v>
      </c>
      <c r="M142" t="str">
        <f t="shared" si="24"/>
        <v>124</v>
      </c>
      <c r="N142" t="str">
        <f t="shared" si="25"/>
        <v>Centre de Santé</v>
      </c>
      <c r="O142" t="str">
        <f t="shared" si="28"/>
        <v>60</v>
      </c>
      <c r="P142" t="str">
        <f t="shared" si="29"/>
        <v>Association Loi 1901 non Reconnue d'Utilité Publique</v>
      </c>
      <c r="Q142" t="str">
        <f t="shared" si="26"/>
        <v>36</v>
      </c>
      <c r="R142" t="str">
        <f t="shared" si="27"/>
        <v>Tarifs conventionnels assurance maladie</v>
      </c>
      <c r="U142" t="str">
        <f>"750069403"</f>
        <v>750069403</v>
      </c>
    </row>
    <row r="143" spans="1:21" x14ac:dyDescent="0.3">
      <c r="A143" t="str">
        <f>"750069437"</f>
        <v>750069437</v>
      </c>
      <c r="B143" t="str">
        <f>"904 518 222 00016"</f>
        <v>904 518 222 00016</v>
      </c>
      <c r="D143" t="str">
        <f>"CDS CITY SANTE PARIS 11"</f>
        <v>CDS CITY SANTE PARIS 11</v>
      </c>
      <c r="F143" t="str">
        <f>"141 RUE DU CHEMIN VERT"</f>
        <v>141 RUE DU CHEMIN VERT</v>
      </c>
      <c r="H143" t="str">
        <f>"75011"</f>
        <v>75011</v>
      </c>
      <c r="I143" t="str">
        <f>"PARIS"</f>
        <v>PARIS</v>
      </c>
      <c r="J143" t="str">
        <f>"06 17 98 16 52 "</f>
        <v xml:space="preserve">06 17 98 16 52 </v>
      </c>
      <c r="L143" s="1">
        <v>44928</v>
      </c>
      <c r="M143" t="str">
        <f t="shared" si="24"/>
        <v>124</v>
      </c>
      <c r="N143" t="str">
        <f t="shared" si="25"/>
        <v>Centre de Santé</v>
      </c>
      <c r="O143" t="str">
        <f t="shared" si="28"/>
        <v>60</v>
      </c>
      <c r="P143" t="str">
        <f t="shared" si="29"/>
        <v>Association Loi 1901 non Reconnue d'Utilité Publique</v>
      </c>
      <c r="Q143" t="str">
        <f t="shared" si="26"/>
        <v>36</v>
      </c>
      <c r="R143" t="str">
        <f t="shared" si="27"/>
        <v>Tarifs conventionnels assurance maladie</v>
      </c>
      <c r="U143" t="str">
        <f>"750069429"</f>
        <v>750069429</v>
      </c>
    </row>
    <row r="144" spans="1:21" x14ac:dyDescent="0.3">
      <c r="A144" t="str">
        <f>"750069726"</f>
        <v>750069726</v>
      </c>
      <c r="B144" t="str">
        <f>"894 121 011 00015"</f>
        <v>894 121 011 00015</v>
      </c>
      <c r="D144" t="str">
        <f>"CDS GAITE MONTPARNASSE"</f>
        <v>CDS GAITE MONTPARNASSE</v>
      </c>
      <c r="F144" t="str">
        <f>"80 AVENUE DU MAINE"</f>
        <v>80 AVENUE DU MAINE</v>
      </c>
      <c r="G144" t="str">
        <f>"CC LES ATELIERS GAITE"</f>
        <v>CC LES ATELIERS GAITE</v>
      </c>
      <c r="H144" t="str">
        <f>"75014"</f>
        <v>75014</v>
      </c>
      <c r="I144" t="str">
        <f>"PARIS"</f>
        <v>PARIS</v>
      </c>
      <c r="J144" t="str">
        <f>"06 27 34 83 55 "</f>
        <v xml:space="preserve">06 27 34 83 55 </v>
      </c>
      <c r="L144" s="1">
        <v>44928</v>
      </c>
      <c r="M144" t="str">
        <f t="shared" si="24"/>
        <v>124</v>
      </c>
      <c r="N144" t="str">
        <f t="shared" si="25"/>
        <v>Centre de Santé</v>
      </c>
      <c r="O144" t="str">
        <f t="shared" si="28"/>
        <v>60</v>
      </c>
      <c r="P144" t="str">
        <f t="shared" si="29"/>
        <v>Association Loi 1901 non Reconnue d'Utilité Publique</v>
      </c>
      <c r="Q144" t="str">
        <f t="shared" si="26"/>
        <v>36</v>
      </c>
      <c r="R144" t="str">
        <f t="shared" si="27"/>
        <v>Tarifs conventionnels assurance maladie</v>
      </c>
      <c r="U144" t="str">
        <f>"750069718"</f>
        <v>750069718</v>
      </c>
    </row>
    <row r="145" spans="1:21" x14ac:dyDescent="0.3">
      <c r="A145" t="str">
        <f>"750071060"</f>
        <v>750071060</v>
      </c>
      <c r="B145" t="str">
        <f>"914 203 492 00014"</f>
        <v>914 203 492 00014</v>
      </c>
      <c r="D145" t="str">
        <f>"CDS INSTITUT DENTAIRE GARIBALDI"</f>
        <v>CDS INSTITUT DENTAIRE GARIBALDI</v>
      </c>
      <c r="F145" t="str">
        <f>"16 BOULEVARD GARIBALDI"</f>
        <v>16 BOULEVARD GARIBALDI</v>
      </c>
      <c r="H145" t="str">
        <f>"75015"</f>
        <v>75015</v>
      </c>
      <c r="I145" t="str">
        <f>"PARIS"</f>
        <v>PARIS</v>
      </c>
      <c r="L145" s="1">
        <v>44928</v>
      </c>
      <c r="M145" t="str">
        <f t="shared" si="24"/>
        <v>124</v>
      </c>
      <c r="N145" t="str">
        <f t="shared" si="25"/>
        <v>Centre de Santé</v>
      </c>
      <c r="O145" t="str">
        <f t="shared" si="28"/>
        <v>60</v>
      </c>
      <c r="P145" t="str">
        <f t="shared" si="29"/>
        <v>Association Loi 1901 non Reconnue d'Utilité Publique</v>
      </c>
      <c r="Q145" t="str">
        <f t="shared" si="26"/>
        <v>36</v>
      </c>
      <c r="R145" t="str">
        <f t="shared" si="27"/>
        <v>Tarifs conventionnels assurance maladie</v>
      </c>
      <c r="U145" t="str">
        <f>"750071052"</f>
        <v>750071052</v>
      </c>
    </row>
    <row r="146" spans="1:21" x14ac:dyDescent="0.3">
      <c r="A146" t="str">
        <f>"750071151"</f>
        <v>750071151</v>
      </c>
      <c r="B146" t="str">
        <f>"914 987 680 00016"</f>
        <v>914 987 680 00016</v>
      </c>
      <c r="D146" t="str">
        <f>"CDS DENTAIRE ORTHODONTIE HUYNH GUERIN"</f>
        <v>CDS DENTAIRE ORTHODONTIE HUYNH GUERIN</v>
      </c>
      <c r="F146" t="str">
        <f>"38 RUE DU CHATEAU DES RENTIERS"</f>
        <v>38 RUE DU CHATEAU DES RENTIERS</v>
      </c>
      <c r="H146" t="str">
        <f>"75013"</f>
        <v>75013</v>
      </c>
      <c r="I146" t="str">
        <f>"PARIS"</f>
        <v>PARIS</v>
      </c>
      <c r="J146" t="str">
        <f>"07 82 02 60 70 "</f>
        <v xml:space="preserve">07 82 02 60 70 </v>
      </c>
      <c r="L146" s="1">
        <v>44928</v>
      </c>
      <c r="M146" t="str">
        <f t="shared" si="24"/>
        <v>124</v>
      </c>
      <c r="N146" t="str">
        <f t="shared" si="25"/>
        <v>Centre de Santé</v>
      </c>
      <c r="O146" t="str">
        <f t="shared" si="28"/>
        <v>60</v>
      </c>
      <c r="P146" t="str">
        <f t="shared" si="29"/>
        <v>Association Loi 1901 non Reconnue d'Utilité Publique</v>
      </c>
      <c r="Q146" t="str">
        <f t="shared" si="26"/>
        <v>36</v>
      </c>
      <c r="R146" t="str">
        <f t="shared" si="27"/>
        <v>Tarifs conventionnels assurance maladie</v>
      </c>
      <c r="U146" t="str">
        <f>"750071144"</f>
        <v>750071144</v>
      </c>
    </row>
    <row r="147" spans="1:21" x14ac:dyDescent="0.3">
      <c r="A147" t="str">
        <f>"780029161"</f>
        <v>780029161</v>
      </c>
      <c r="B147" t="str">
        <f>"912 135 209 00019"</f>
        <v>912 135 209 00019</v>
      </c>
      <c r="D147" t="str">
        <f>"CDS DENTAIRE ELYSEE 2"</f>
        <v>CDS DENTAIRE ELYSEE 2</v>
      </c>
      <c r="F147" t="str">
        <f>"18 AVENUE DE LA JONCHERE"</f>
        <v>18 AVENUE DE LA JONCHERE</v>
      </c>
      <c r="H147" t="str">
        <f>"78170"</f>
        <v>78170</v>
      </c>
      <c r="I147" t="str">
        <f>"LA CELLE ST CLOUD"</f>
        <v>LA CELLE ST CLOUD</v>
      </c>
      <c r="L147" s="1">
        <v>44928</v>
      </c>
      <c r="M147" t="str">
        <f t="shared" si="24"/>
        <v>124</v>
      </c>
      <c r="N147" t="str">
        <f t="shared" si="25"/>
        <v>Centre de Santé</v>
      </c>
      <c r="O147" t="str">
        <f t="shared" si="28"/>
        <v>60</v>
      </c>
      <c r="P147" t="str">
        <f t="shared" si="29"/>
        <v>Association Loi 1901 non Reconnue d'Utilité Publique</v>
      </c>
      <c r="Q147" t="str">
        <f t="shared" si="26"/>
        <v>36</v>
      </c>
      <c r="R147" t="str">
        <f t="shared" si="27"/>
        <v>Tarifs conventionnels assurance maladie</v>
      </c>
      <c r="U147" t="str">
        <f>"780029153"</f>
        <v>780029153</v>
      </c>
    </row>
    <row r="148" spans="1:21" x14ac:dyDescent="0.3">
      <c r="A148" t="str">
        <f>"790021083"</f>
        <v>790021083</v>
      </c>
      <c r="B148" t="str">
        <f>"267 901 213 00012"</f>
        <v>267 901 213 00012</v>
      </c>
      <c r="D148" t="str">
        <f>"CPDS CHNDS"</f>
        <v>CPDS CHNDS</v>
      </c>
      <c r="F148" t="str">
        <f>"4 RUE DU DOCTEUR MICHEL BINET"</f>
        <v>4 RUE DU DOCTEUR MICHEL BINET</v>
      </c>
      <c r="H148" t="str">
        <f>"79350"</f>
        <v>79350</v>
      </c>
      <c r="I148" t="str">
        <f>"FAYE L ABBESSE"</f>
        <v>FAYE L ABBESSE</v>
      </c>
      <c r="J148" t="str">
        <f>"05 49 68 35 70 "</f>
        <v xml:space="preserve">05 49 68 35 70 </v>
      </c>
      <c r="L148" s="1">
        <v>44928</v>
      </c>
      <c r="M148" t="str">
        <f t="shared" si="24"/>
        <v>124</v>
      </c>
      <c r="N148" t="str">
        <f t="shared" si="25"/>
        <v>Centre de Santé</v>
      </c>
      <c r="O148" t="str">
        <f>"14"</f>
        <v>14</v>
      </c>
      <c r="P148" t="str">
        <f>"Etablissement Public Intercommunal d'Hospitalisation"</f>
        <v>Etablissement Public Intercommunal d'Hospitalisation</v>
      </c>
      <c r="Q148" t="str">
        <f t="shared" si="26"/>
        <v>36</v>
      </c>
      <c r="R148" t="str">
        <f t="shared" si="27"/>
        <v>Tarifs conventionnels assurance maladie</v>
      </c>
      <c r="U148" t="str">
        <f>"790006654"</f>
        <v>790006654</v>
      </c>
    </row>
    <row r="149" spans="1:21" x14ac:dyDescent="0.3">
      <c r="A149" t="str">
        <f>"840022396"</f>
        <v>840022396</v>
      </c>
      <c r="B149" t="str">
        <f>"914 873 690 00020"</f>
        <v>914 873 690 00020</v>
      </c>
      <c r="D149" t="str">
        <f>"CENTRE DE SANTE ACCES VISION AVIGNON"</f>
        <v>CENTRE DE SANTE ACCES VISION AVIGNON</v>
      </c>
      <c r="F149" t="str">
        <f>"3 PLACE DES CORPS SAINTS"</f>
        <v>3 PLACE DES CORPS SAINTS</v>
      </c>
      <c r="H149" t="str">
        <f>"84000"</f>
        <v>84000</v>
      </c>
      <c r="I149" t="str">
        <f>"AVIGNON"</f>
        <v>AVIGNON</v>
      </c>
      <c r="J149" t="str">
        <f>"04 86 11 03 03 "</f>
        <v xml:space="preserve">04 86 11 03 03 </v>
      </c>
      <c r="L149" s="1">
        <v>44928</v>
      </c>
      <c r="M149" t="str">
        <f t="shared" si="24"/>
        <v>124</v>
      </c>
      <c r="N149" t="str">
        <f t="shared" si="25"/>
        <v>Centre de Santé</v>
      </c>
      <c r="O149" t="str">
        <f>"60"</f>
        <v>60</v>
      </c>
      <c r="P149" t="str">
        <f>"Association Loi 1901 non Reconnue d'Utilité Publique"</f>
        <v>Association Loi 1901 non Reconnue d'Utilité Publique</v>
      </c>
      <c r="Q149" t="str">
        <f t="shared" si="26"/>
        <v>36</v>
      </c>
      <c r="R149" t="str">
        <f t="shared" si="27"/>
        <v>Tarifs conventionnels assurance maladie</v>
      </c>
      <c r="U149" t="str">
        <f>"840022560"</f>
        <v>840022560</v>
      </c>
    </row>
    <row r="150" spans="1:21" x14ac:dyDescent="0.3">
      <c r="A150" t="str">
        <f>"920036340"</f>
        <v>920036340</v>
      </c>
      <c r="B150" t="str">
        <f>"879 920 411 00011"</f>
        <v>879 920 411 00011</v>
      </c>
      <c r="D150" t="str">
        <f>"CDS MEDICAL SAINT-CLOUD"</f>
        <v>CDS MEDICAL SAINT-CLOUD</v>
      </c>
      <c r="F150" t="str">
        <f>"1 RUE ROYALE"</f>
        <v>1 RUE ROYALE</v>
      </c>
      <c r="H150" t="str">
        <f>"92210"</f>
        <v>92210</v>
      </c>
      <c r="I150" t="str">
        <f>"ST CLOUD"</f>
        <v>ST CLOUD</v>
      </c>
      <c r="L150" s="1">
        <v>44928</v>
      </c>
      <c r="M150" t="str">
        <f t="shared" si="24"/>
        <v>124</v>
      </c>
      <c r="N150" t="str">
        <f t="shared" si="25"/>
        <v>Centre de Santé</v>
      </c>
      <c r="O150" t="str">
        <f>"60"</f>
        <v>60</v>
      </c>
      <c r="P150" t="str">
        <f>"Association Loi 1901 non Reconnue d'Utilité Publique"</f>
        <v>Association Loi 1901 non Reconnue d'Utilité Publique</v>
      </c>
      <c r="Q150" t="str">
        <f t="shared" si="26"/>
        <v>36</v>
      </c>
      <c r="R150" t="str">
        <f t="shared" si="27"/>
        <v>Tarifs conventionnels assurance maladie</v>
      </c>
      <c r="U150" t="str">
        <f>"920036324"</f>
        <v>920036324</v>
      </c>
    </row>
    <row r="151" spans="1:21" x14ac:dyDescent="0.3">
      <c r="A151" t="str">
        <f>"930032461"</f>
        <v>930032461</v>
      </c>
      <c r="B151" t="str">
        <f>"914 237 581 00014"</f>
        <v>914 237 581 00014</v>
      </c>
      <c r="D151" t="str">
        <f>"CDS DOCKS CLINIC"</f>
        <v>CDS DOCKS CLINIC</v>
      </c>
      <c r="F151" t="str">
        <f>"LOT M4B - ZAC DES DOCKS"</f>
        <v>LOT M4B - ZAC DES DOCKS</v>
      </c>
      <c r="G151" t="str">
        <f>"SECTEUR ARDOIN SUD"</f>
        <v>SECTEUR ARDOIN SUD</v>
      </c>
      <c r="H151" t="str">
        <f>"93400"</f>
        <v>93400</v>
      </c>
      <c r="I151" t="str">
        <f>"ST OUEN SUR SEINE"</f>
        <v>ST OUEN SUR SEINE</v>
      </c>
      <c r="J151" t="str">
        <f>"06 28 22 06 84 "</f>
        <v xml:space="preserve">06 28 22 06 84 </v>
      </c>
      <c r="L151" s="1">
        <v>44928</v>
      </c>
      <c r="M151" t="str">
        <f t="shared" si="24"/>
        <v>124</v>
      </c>
      <c r="N151" t="str">
        <f t="shared" si="25"/>
        <v>Centre de Santé</v>
      </c>
      <c r="O151" t="str">
        <f>"60"</f>
        <v>60</v>
      </c>
      <c r="P151" t="str">
        <f>"Association Loi 1901 non Reconnue d'Utilité Publique"</f>
        <v>Association Loi 1901 non Reconnue d'Utilité Publique</v>
      </c>
      <c r="Q151" t="str">
        <f t="shared" si="26"/>
        <v>36</v>
      </c>
      <c r="R151" t="str">
        <f t="shared" si="27"/>
        <v>Tarifs conventionnels assurance maladie</v>
      </c>
      <c r="U151" t="str">
        <f>"890010697"</f>
        <v>890010697</v>
      </c>
    </row>
    <row r="152" spans="1:21" x14ac:dyDescent="0.3">
      <c r="A152" t="str">
        <f>"240018374"</f>
        <v>240018374</v>
      </c>
      <c r="B152" t="str">
        <f>"200 034 833 00166"</f>
        <v>200 034 833 00166</v>
      </c>
      <c r="D152" t="str">
        <f>"CIS BASTIDE DORDOGNE PERIGORD"</f>
        <v>CIS BASTIDE DORDOGNE PERIGORD</v>
      </c>
      <c r="F152" t="str">
        <f>"2 PLACE POLONY"</f>
        <v>2 PLACE POLONY</v>
      </c>
      <c r="H152" t="str">
        <f>"24440"</f>
        <v>24440</v>
      </c>
      <c r="I152" t="str">
        <f>"BEAUMONTOIS EN PERIGORD"</f>
        <v>BEAUMONTOIS EN PERIGORD</v>
      </c>
      <c r="J152" t="str">
        <f>"05 53 73 56 20 "</f>
        <v xml:space="preserve">05 53 73 56 20 </v>
      </c>
      <c r="L152" s="1">
        <v>44927</v>
      </c>
      <c r="M152" t="str">
        <f t="shared" si="24"/>
        <v>124</v>
      </c>
      <c r="N152" t="str">
        <f t="shared" si="25"/>
        <v>Centre de Santé</v>
      </c>
      <c r="O152" t="str">
        <f>"26"</f>
        <v>26</v>
      </c>
      <c r="P152" t="str">
        <f>"Autre Etablissement Public à Caractère Administratif"</f>
        <v>Autre Etablissement Public à Caractère Administratif</v>
      </c>
      <c r="Q152" t="str">
        <f t="shared" si="26"/>
        <v>36</v>
      </c>
      <c r="R152" t="str">
        <f t="shared" si="27"/>
        <v>Tarifs conventionnels assurance maladie</v>
      </c>
      <c r="U152" t="str">
        <f>"240018366"</f>
        <v>240018366</v>
      </c>
    </row>
    <row r="153" spans="1:21" x14ac:dyDescent="0.3">
      <c r="A153" t="str">
        <f>"690052535"</f>
        <v>690052535</v>
      </c>
      <c r="B153" t="str">
        <f>"921 872 990 00020"</f>
        <v>921 872 990 00020</v>
      </c>
      <c r="D153" t="str">
        <f>"CTRE DE SANTE DENTAIRE PORTE DES ALPES"</f>
        <v>CTRE DE SANTE DENTAIRE PORTE DES ALPES</v>
      </c>
      <c r="F153" t="str">
        <f>"140 RUE ANDRE LWOFF"</f>
        <v>140 RUE ANDRE LWOFF</v>
      </c>
      <c r="H153" t="str">
        <f>"69800"</f>
        <v>69800</v>
      </c>
      <c r="I153" t="str">
        <f>"ST PRIEST"</f>
        <v>ST PRIEST</v>
      </c>
      <c r="L153" s="1">
        <v>44927</v>
      </c>
      <c r="M153" t="str">
        <f t="shared" si="24"/>
        <v>124</v>
      </c>
      <c r="N153" t="str">
        <f t="shared" si="25"/>
        <v>Centre de Santé</v>
      </c>
      <c r="O153" t="str">
        <f>"60"</f>
        <v>60</v>
      </c>
      <c r="P153" t="str">
        <f>"Association Loi 1901 non Reconnue d'Utilité Publique"</f>
        <v>Association Loi 1901 non Reconnue d'Utilité Publique</v>
      </c>
      <c r="Q153" t="str">
        <f t="shared" si="26"/>
        <v>36</v>
      </c>
      <c r="R153" t="str">
        <f t="shared" si="27"/>
        <v>Tarifs conventionnels assurance maladie</v>
      </c>
      <c r="U153" t="str">
        <f>"380027011"</f>
        <v>380027011</v>
      </c>
    </row>
    <row r="154" spans="1:21" x14ac:dyDescent="0.3">
      <c r="A154" t="str">
        <f>"250021821"</f>
        <v>250021821</v>
      </c>
      <c r="B154" t="str">
        <f>"917 845 539 00019"</f>
        <v>917 845 539 00019</v>
      </c>
      <c r="D154" t="str">
        <f>"CENTRE DE SANTE DENTAIRE DENTAL AXE"</f>
        <v>CENTRE DE SANTE DENTAIRE DENTAL AXE</v>
      </c>
      <c r="F154" t="str">
        <f>"RUE JACQUES FOILLET"</f>
        <v>RUE JACQUES FOILLET</v>
      </c>
      <c r="H154" t="str">
        <f>"25200"</f>
        <v>25200</v>
      </c>
      <c r="I154" t="str">
        <f>"MONTBELIARD"</f>
        <v>MONTBELIARD</v>
      </c>
      <c r="L154" s="1">
        <v>44925</v>
      </c>
      <c r="M154" t="str">
        <f t="shared" si="24"/>
        <v>124</v>
      </c>
      <c r="N154" t="str">
        <f t="shared" si="25"/>
        <v>Centre de Santé</v>
      </c>
      <c r="O154" t="str">
        <f>"60"</f>
        <v>60</v>
      </c>
      <c r="P154" t="str">
        <f>"Association Loi 1901 non Reconnue d'Utilité Publique"</f>
        <v>Association Loi 1901 non Reconnue d'Utilité Publique</v>
      </c>
      <c r="Q154" t="str">
        <f t="shared" si="26"/>
        <v>36</v>
      </c>
      <c r="R154" t="str">
        <f t="shared" si="27"/>
        <v>Tarifs conventionnels assurance maladie</v>
      </c>
      <c r="U154" t="str">
        <f>"250021813"</f>
        <v>250021813</v>
      </c>
    </row>
    <row r="155" spans="1:21" x14ac:dyDescent="0.3">
      <c r="A155" t="str">
        <f>"970306288"</f>
        <v>970306288</v>
      </c>
      <c r="B155" t="str">
        <f>"269 733 119 00094"</f>
        <v>269 733 119 00094</v>
      </c>
      <c r="D155" t="str">
        <f>"CENTRE DE SANTE DU CHOG"</f>
        <v>CENTRE DE SANTE DU CHOG</v>
      </c>
      <c r="F155" t="str">
        <f>"16 BOULEVARD DU GENERAL DE GAULLE"</f>
        <v>16 BOULEVARD DU GENERAL DE GAULLE</v>
      </c>
      <c r="H155" t="str">
        <f>"97320"</f>
        <v>97320</v>
      </c>
      <c r="I155" t="str">
        <f>"ST LAURENT DU MARONI"</f>
        <v>ST LAURENT DU MARONI</v>
      </c>
      <c r="L155" s="1">
        <v>44925</v>
      </c>
      <c r="M155" t="str">
        <f t="shared" si="24"/>
        <v>124</v>
      </c>
      <c r="N155" t="str">
        <f t="shared" si="25"/>
        <v>Centre de Santé</v>
      </c>
      <c r="O155" t="str">
        <f>"14"</f>
        <v>14</v>
      </c>
      <c r="P155" t="str">
        <f>"Etablissement Public Intercommunal d'Hospitalisation"</f>
        <v>Etablissement Public Intercommunal d'Hospitalisation</v>
      </c>
      <c r="Q155" t="str">
        <f t="shared" si="26"/>
        <v>36</v>
      </c>
      <c r="R155" t="str">
        <f t="shared" si="27"/>
        <v>Tarifs conventionnels assurance maladie</v>
      </c>
      <c r="U155" t="str">
        <f>"970302121"</f>
        <v>970302121</v>
      </c>
    </row>
    <row r="156" spans="1:21" x14ac:dyDescent="0.3">
      <c r="A156" t="str">
        <f>"970215273"</f>
        <v>970215273</v>
      </c>
      <c r="D156" t="str">
        <f>"CENTRE D'OPHTALMOLOGIE OPHTACY"</f>
        <v>CENTRE D'OPHTALMOLOGIE OPHTACY</v>
      </c>
      <c r="F156" t="str">
        <f>"LES GALERIES DE BOIS QUARRE"</f>
        <v>LES GALERIES DE BOIS QUARRE</v>
      </c>
      <c r="G156" t="str">
        <f>"RN1"</f>
        <v>RN1</v>
      </c>
      <c r="H156" t="str">
        <f>"97232"</f>
        <v>97232</v>
      </c>
      <c r="I156" t="str">
        <f>"LE LAMENTIN"</f>
        <v>LE LAMENTIN</v>
      </c>
      <c r="J156" t="str">
        <f>"06 09 46 67 59 "</f>
        <v xml:space="preserve">06 09 46 67 59 </v>
      </c>
      <c r="L156" s="1">
        <v>44916</v>
      </c>
      <c r="M156" t="str">
        <f t="shared" si="24"/>
        <v>124</v>
      </c>
      <c r="N156" t="str">
        <f t="shared" si="25"/>
        <v>Centre de Santé</v>
      </c>
      <c r="O156" t="str">
        <f>"60"</f>
        <v>60</v>
      </c>
      <c r="P156" t="str">
        <f>"Association Loi 1901 non Reconnue d'Utilité Publique"</f>
        <v>Association Loi 1901 non Reconnue d'Utilité Publique</v>
      </c>
      <c r="Q156" t="str">
        <f t="shared" si="26"/>
        <v>36</v>
      </c>
      <c r="R156" t="str">
        <f t="shared" si="27"/>
        <v>Tarifs conventionnels assurance maladie</v>
      </c>
      <c r="U156" t="str">
        <f>"970215265"</f>
        <v>970215265</v>
      </c>
    </row>
    <row r="157" spans="1:21" x14ac:dyDescent="0.3">
      <c r="A157" t="str">
        <f>"340030030"</f>
        <v>340030030</v>
      </c>
      <c r="B157" t="str">
        <f>"904 509 833 00029"</f>
        <v>904 509 833 00029</v>
      </c>
      <c r="D157" t="str">
        <f>"CENTRE DENTAIRE DENTAL +"</f>
        <v>CENTRE DENTAIRE DENTAL +</v>
      </c>
      <c r="F157" t="str">
        <f>"5 AVENUE GEORGES CLEMENCEAU"</f>
        <v>5 AVENUE GEORGES CLEMENCEAU</v>
      </c>
      <c r="H157" t="str">
        <f>"34000"</f>
        <v>34000</v>
      </c>
      <c r="I157" t="str">
        <f>"MONTPELLIER"</f>
        <v>MONTPELLIER</v>
      </c>
      <c r="J157" t="str">
        <f>"06 37 12 48 93 "</f>
        <v xml:space="preserve">06 37 12 48 93 </v>
      </c>
      <c r="L157" s="1">
        <v>44914</v>
      </c>
      <c r="M157" t="str">
        <f t="shared" si="24"/>
        <v>124</v>
      </c>
      <c r="N157" t="str">
        <f t="shared" si="25"/>
        <v>Centre de Santé</v>
      </c>
      <c r="O157" t="str">
        <f>"60"</f>
        <v>60</v>
      </c>
      <c r="P157" t="str">
        <f>"Association Loi 1901 non Reconnue d'Utilité Publique"</f>
        <v>Association Loi 1901 non Reconnue d'Utilité Publique</v>
      </c>
      <c r="Q157" t="str">
        <f t="shared" si="26"/>
        <v>36</v>
      </c>
      <c r="R157" t="str">
        <f t="shared" si="27"/>
        <v>Tarifs conventionnels assurance maladie</v>
      </c>
      <c r="U157" t="str">
        <f>"770026516"</f>
        <v>770026516</v>
      </c>
    </row>
    <row r="158" spans="1:21" x14ac:dyDescent="0.3">
      <c r="A158" t="str">
        <f>"940029556"</f>
        <v>940029556</v>
      </c>
      <c r="B158" t="str">
        <f>"912 093 515 00019"</f>
        <v>912 093 515 00019</v>
      </c>
      <c r="D158" t="str">
        <f>"CDS MEDICO DENTAIRE DE MAISONS ALFORT"</f>
        <v>CDS MEDICO DENTAIRE DE MAISONS ALFORT</v>
      </c>
      <c r="F158" t="str">
        <f>"133 RUE JEAN JAURES"</f>
        <v>133 RUE JEAN JAURES</v>
      </c>
      <c r="H158" t="str">
        <f>"94700"</f>
        <v>94700</v>
      </c>
      <c r="I158" t="str">
        <f>"MAISONS ALFORT"</f>
        <v>MAISONS ALFORT</v>
      </c>
      <c r="L158" s="1">
        <v>44914</v>
      </c>
      <c r="M158" t="str">
        <f t="shared" si="24"/>
        <v>124</v>
      </c>
      <c r="N158" t="str">
        <f t="shared" si="25"/>
        <v>Centre de Santé</v>
      </c>
      <c r="O158" t="str">
        <f>"60"</f>
        <v>60</v>
      </c>
      <c r="P158" t="str">
        <f>"Association Loi 1901 non Reconnue d'Utilité Publique"</f>
        <v>Association Loi 1901 non Reconnue d'Utilité Publique</v>
      </c>
      <c r="Q158" t="str">
        <f t="shared" si="26"/>
        <v>36</v>
      </c>
      <c r="R158" t="str">
        <f t="shared" si="27"/>
        <v>Tarifs conventionnels assurance maladie</v>
      </c>
      <c r="U158" t="str">
        <f>"940029549"</f>
        <v>940029549</v>
      </c>
    </row>
    <row r="159" spans="1:21" x14ac:dyDescent="0.3">
      <c r="A159" t="str">
        <f>"470018557"</f>
        <v>470018557</v>
      </c>
      <c r="B159" t="str">
        <f>"914 061 577 00021"</f>
        <v>914 061 577 00021</v>
      </c>
      <c r="D159" t="str">
        <f>"CDS DENTAIRE D'AGEN"</f>
        <v>CDS DENTAIRE D'AGEN</v>
      </c>
      <c r="F159" t="str">
        <f>"28 BOULEVARD DE LA REPUBLIQUE"</f>
        <v>28 BOULEVARD DE LA REPUBLIQUE</v>
      </c>
      <c r="H159" t="str">
        <f>"47000"</f>
        <v>47000</v>
      </c>
      <c r="I159" t="str">
        <f>"AGEN"</f>
        <v>AGEN</v>
      </c>
      <c r="J159" t="str">
        <f>"09 78 36 56 61 "</f>
        <v xml:space="preserve">09 78 36 56 61 </v>
      </c>
      <c r="L159" s="1">
        <v>44910</v>
      </c>
      <c r="M159" t="str">
        <f t="shared" si="24"/>
        <v>124</v>
      </c>
      <c r="N159" t="str">
        <f t="shared" si="25"/>
        <v>Centre de Santé</v>
      </c>
      <c r="O159" t="str">
        <f>"60"</f>
        <v>60</v>
      </c>
      <c r="P159" t="str">
        <f>"Association Loi 1901 non Reconnue d'Utilité Publique"</f>
        <v>Association Loi 1901 non Reconnue d'Utilité Publique</v>
      </c>
      <c r="Q159" t="str">
        <f t="shared" si="26"/>
        <v>36</v>
      </c>
      <c r="R159" t="str">
        <f t="shared" si="27"/>
        <v>Tarifs conventionnels assurance maladie</v>
      </c>
      <c r="U159" t="str">
        <f>"750071243"</f>
        <v>750071243</v>
      </c>
    </row>
    <row r="160" spans="1:21" x14ac:dyDescent="0.3">
      <c r="A160" t="str">
        <f>"690052402"</f>
        <v>690052402</v>
      </c>
      <c r="B160" t="str">
        <f>"917 509 937 00012"</f>
        <v>917 509 937 00012</v>
      </c>
      <c r="D160" t="str">
        <f>"CENTRE DE SANTE PREVIDERM"</f>
        <v>CENTRE DE SANTE PREVIDERM</v>
      </c>
      <c r="F160" t="str">
        <f>"44 RUE DE L'AVENIR"</f>
        <v>44 RUE DE L'AVENIR</v>
      </c>
      <c r="H160" t="str">
        <f>"69740"</f>
        <v>69740</v>
      </c>
      <c r="I160" t="str">
        <f>"GENAS"</f>
        <v>GENAS</v>
      </c>
      <c r="L160" s="1">
        <v>44908</v>
      </c>
      <c r="M160" t="str">
        <f t="shared" si="24"/>
        <v>124</v>
      </c>
      <c r="N160" t="str">
        <f t="shared" si="25"/>
        <v>Centre de Santé</v>
      </c>
      <c r="O160" t="str">
        <f>"60"</f>
        <v>60</v>
      </c>
      <c r="P160" t="str">
        <f>"Association Loi 1901 non Reconnue d'Utilité Publique"</f>
        <v>Association Loi 1901 non Reconnue d'Utilité Publique</v>
      </c>
      <c r="Q160" t="str">
        <f t="shared" si="26"/>
        <v>36</v>
      </c>
      <c r="R160" t="str">
        <f t="shared" si="27"/>
        <v>Tarifs conventionnels assurance maladie</v>
      </c>
      <c r="U160" t="str">
        <f>"690052394"</f>
        <v>690052394</v>
      </c>
    </row>
    <row r="161" spans="1:21" x14ac:dyDescent="0.3">
      <c r="A161" t="str">
        <f>"690052360"</f>
        <v>690052360</v>
      </c>
      <c r="B161" t="str">
        <f>"216 901 751 00018"</f>
        <v>216 901 751 00018</v>
      </c>
      <c r="D161" t="str">
        <f>"CENTRE DE SANTE MUNICIPAL DE SAVIGNY"</f>
        <v>CENTRE DE SANTE MUNICIPAL DE SAVIGNY</v>
      </c>
      <c r="F161" t="str">
        <f>"5 RUE SAINT-ANDRE"</f>
        <v>5 RUE SAINT-ANDRE</v>
      </c>
      <c r="H161" t="str">
        <f>"69210"</f>
        <v>69210</v>
      </c>
      <c r="I161" t="str">
        <f>"SAVIGNY"</f>
        <v>SAVIGNY</v>
      </c>
      <c r="J161" t="str">
        <f>"04 74 72 09 09 "</f>
        <v xml:space="preserve">04 74 72 09 09 </v>
      </c>
      <c r="L161" s="1">
        <v>44907</v>
      </c>
      <c r="M161" t="str">
        <f t="shared" si="24"/>
        <v>124</v>
      </c>
      <c r="N161" t="str">
        <f t="shared" si="25"/>
        <v>Centre de Santé</v>
      </c>
      <c r="O161" t="str">
        <f>"03"</f>
        <v>03</v>
      </c>
      <c r="P161" t="str">
        <f>"Commune"</f>
        <v>Commune</v>
      </c>
      <c r="Q161" t="str">
        <f t="shared" si="26"/>
        <v>36</v>
      </c>
      <c r="R161" t="str">
        <f t="shared" si="27"/>
        <v>Tarifs conventionnels assurance maladie</v>
      </c>
      <c r="U161" t="str">
        <f>"690052352"</f>
        <v>690052352</v>
      </c>
    </row>
    <row r="162" spans="1:21" x14ac:dyDescent="0.3">
      <c r="A162" t="str">
        <f>"690052386"</f>
        <v>690052386</v>
      </c>
      <c r="B162" t="str">
        <f>"918 954 710 00011"</f>
        <v>918 954 710 00011</v>
      </c>
      <c r="D162" t="str">
        <f>"CENTRE DE SANTE DENTAIRE VILLEFRANCHE"</f>
        <v>CENTRE DE SANTE DENTAIRE VILLEFRANCHE</v>
      </c>
      <c r="F162" t="str">
        <f>"413 RUE PHILIPPE HERON"</f>
        <v>413 RUE PHILIPPE HERON</v>
      </c>
      <c r="H162" t="str">
        <f>"69400"</f>
        <v>69400</v>
      </c>
      <c r="I162" t="str">
        <f>"VILLEFRANCHE SUR SAONE"</f>
        <v>VILLEFRANCHE SUR SAONE</v>
      </c>
      <c r="L162" s="1">
        <v>44907</v>
      </c>
      <c r="M162" t="str">
        <f t="shared" si="24"/>
        <v>124</v>
      </c>
      <c r="N162" t="str">
        <f t="shared" si="25"/>
        <v>Centre de Santé</v>
      </c>
      <c r="O162" t="str">
        <f t="shared" ref="O162:O172" si="30">"60"</f>
        <v>60</v>
      </c>
      <c r="P162" t="str">
        <f t="shared" ref="P162:P172" si="31">"Association Loi 1901 non Reconnue d'Utilité Publique"</f>
        <v>Association Loi 1901 non Reconnue d'Utilité Publique</v>
      </c>
      <c r="Q162" t="str">
        <f t="shared" si="26"/>
        <v>36</v>
      </c>
      <c r="R162" t="str">
        <f t="shared" si="27"/>
        <v>Tarifs conventionnels assurance maladie</v>
      </c>
      <c r="U162" t="str">
        <f>"690052378"</f>
        <v>690052378</v>
      </c>
    </row>
    <row r="163" spans="1:21" x14ac:dyDescent="0.3">
      <c r="A163" t="str">
        <f>"950046052"</f>
        <v>950046052</v>
      </c>
      <c r="B163" t="str">
        <f>"900 939 869 00013"</f>
        <v>900 939 869 00013</v>
      </c>
      <c r="D163" t="str">
        <f>"CDS DENTAIRE OPHTALMO ERMONT"</f>
        <v>CDS DENTAIRE OPHTALMO ERMONT</v>
      </c>
      <c r="F163" t="str">
        <f>"AVENUE DU PRESIDENT G POMPIDOU"</f>
        <v>AVENUE DU PRESIDENT G POMPIDOU</v>
      </c>
      <c r="G163" t="str">
        <f>"CCIAL CORA"</f>
        <v>CCIAL CORA</v>
      </c>
      <c r="H163" t="str">
        <f>"95120"</f>
        <v>95120</v>
      </c>
      <c r="I163" t="str">
        <f>"ERMONT"</f>
        <v>ERMONT</v>
      </c>
      <c r="J163" t="str">
        <f>"01 86 23 10 10 "</f>
        <v xml:space="preserve">01 86 23 10 10 </v>
      </c>
      <c r="L163" s="1">
        <v>44903</v>
      </c>
      <c r="M163" t="str">
        <f t="shared" si="24"/>
        <v>124</v>
      </c>
      <c r="N163" t="str">
        <f t="shared" si="25"/>
        <v>Centre de Santé</v>
      </c>
      <c r="O163" t="str">
        <f t="shared" si="30"/>
        <v>60</v>
      </c>
      <c r="P163" t="str">
        <f t="shared" si="31"/>
        <v>Association Loi 1901 non Reconnue d'Utilité Publique</v>
      </c>
      <c r="Q163" t="str">
        <f t="shared" si="26"/>
        <v>36</v>
      </c>
      <c r="R163" t="str">
        <f t="shared" si="27"/>
        <v>Tarifs conventionnels assurance maladie</v>
      </c>
      <c r="U163" t="str">
        <f>"920037777"</f>
        <v>920037777</v>
      </c>
    </row>
    <row r="164" spans="1:21" x14ac:dyDescent="0.3">
      <c r="A164" t="str">
        <f>"750070682"</f>
        <v>750070682</v>
      </c>
      <c r="B164" t="str">
        <f>"909 670 176 00017"</f>
        <v>909 670 176 00017</v>
      </c>
      <c r="D164" t="str">
        <f>"CENTRE DENTAIRE PARIS ETOILE"</f>
        <v>CENTRE DENTAIRE PARIS ETOILE</v>
      </c>
      <c r="F164" t="str">
        <f>"1 RUE VILLARET DE JOYEUSE"</f>
        <v>1 RUE VILLARET DE JOYEUSE</v>
      </c>
      <c r="H164" t="str">
        <f>"75017"</f>
        <v>75017</v>
      </c>
      <c r="I164" t="str">
        <f>"PARIS"</f>
        <v>PARIS</v>
      </c>
      <c r="J164" t="str">
        <f>"06 15 22 04 91 "</f>
        <v xml:space="preserve">06 15 22 04 91 </v>
      </c>
      <c r="L164" s="1">
        <v>44902</v>
      </c>
      <c r="M164" t="str">
        <f t="shared" si="24"/>
        <v>124</v>
      </c>
      <c r="N164" t="str">
        <f t="shared" si="25"/>
        <v>Centre de Santé</v>
      </c>
      <c r="O164" t="str">
        <f t="shared" si="30"/>
        <v>60</v>
      </c>
      <c r="P164" t="str">
        <f t="shared" si="31"/>
        <v>Association Loi 1901 non Reconnue d'Utilité Publique</v>
      </c>
      <c r="Q164" t="str">
        <f t="shared" ref="Q164:Q195" si="32">"36"</f>
        <v>36</v>
      </c>
      <c r="R164" t="str">
        <f t="shared" ref="R164:R195" si="33">"Tarifs conventionnels assurance maladie"</f>
        <v>Tarifs conventionnels assurance maladie</v>
      </c>
      <c r="U164" t="str">
        <f>"750070674"</f>
        <v>750070674</v>
      </c>
    </row>
    <row r="165" spans="1:21" x14ac:dyDescent="0.3">
      <c r="A165" t="str">
        <f>"660012725"</f>
        <v>660012725</v>
      </c>
      <c r="B165" t="str">
        <f>"912 798 675 00027"</f>
        <v>912 798 675 00027</v>
      </c>
      <c r="D165" t="str">
        <f>"CENTRE DE SANTÉ ACCES VISION PERPIGNAN"</f>
        <v>CENTRE DE SANTÉ ACCES VISION PERPIGNAN</v>
      </c>
      <c r="F165" t="str">
        <f>"51 AVENUE GENERAL DE GAULLE"</f>
        <v>51 AVENUE GENERAL DE GAULLE</v>
      </c>
      <c r="H165" t="str">
        <f>"66000"</f>
        <v>66000</v>
      </c>
      <c r="I165" t="str">
        <f>"PERPIGNAN"</f>
        <v>PERPIGNAN</v>
      </c>
      <c r="J165" t="str">
        <f>"04 86 11 03 33 "</f>
        <v xml:space="preserve">04 86 11 03 33 </v>
      </c>
      <c r="L165" s="1">
        <v>44901</v>
      </c>
      <c r="M165" t="str">
        <f t="shared" si="24"/>
        <v>124</v>
      </c>
      <c r="N165" t="str">
        <f t="shared" si="25"/>
        <v>Centre de Santé</v>
      </c>
      <c r="O165" t="str">
        <f t="shared" si="30"/>
        <v>60</v>
      </c>
      <c r="P165" t="str">
        <f t="shared" si="31"/>
        <v>Association Loi 1901 non Reconnue d'Utilité Publique</v>
      </c>
      <c r="Q165" t="str">
        <f t="shared" si="32"/>
        <v>36</v>
      </c>
      <c r="R165" t="str">
        <f t="shared" si="33"/>
        <v>Tarifs conventionnels assurance maladie</v>
      </c>
      <c r="U165" t="str">
        <f>"940029846"</f>
        <v>940029846</v>
      </c>
    </row>
    <row r="166" spans="1:21" x14ac:dyDescent="0.3">
      <c r="A166" t="str">
        <f>"060031085"</f>
        <v>060031085</v>
      </c>
      <c r="B166" t="str">
        <f>"900 207 523 00011"</f>
        <v>900 207 523 00011</v>
      </c>
      <c r="D166" t="str">
        <f>"CDS DENTAIRE ET D'OPHTALMOLOGIE"</f>
        <v>CDS DENTAIRE ET D'OPHTALMOLOGIE</v>
      </c>
      <c r="F166" t="str">
        <f>"2 BOULEVARD MARECHAL JUIN"</f>
        <v>2 BOULEVARD MARECHAL JUIN</v>
      </c>
      <c r="H166" t="str">
        <f>"06800"</f>
        <v>06800</v>
      </c>
      <c r="I166" t="str">
        <f>"CAGNES SUR MER"</f>
        <v>CAGNES SUR MER</v>
      </c>
      <c r="J166" t="str">
        <f>"04 22 78 78 20 "</f>
        <v xml:space="preserve">04 22 78 78 20 </v>
      </c>
      <c r="L166" s="1">
        <v>44900</v>
      </c>
      <c r="M166" t="str">
        <f t="shared" si="24"/>
        <v>124</v>
      </c>
      <c r="N166" t="str">
        <f t="shared" si="25"/>
        <v>Centre de Santé</v>
      </c>
      <c r="O166" t="str">
        <f t="shared" si="30"/>
        <v>60</v>
      </c>
      <c r="P166" t="str">
        <f t="shared" si="31"/>
        <v>Association Loi 1901 non Reconnue d'Utilité Publique</v>
      </c>
      <c r="Q166" t="str">
        <f t="shared" si="32"/>
        <v>36</v>
      </c>
      <c r="R166" t="str">
        <f t="shared" si="33"/>
        <v>Tarifs conventionnels assurance maladie</v>
      </c>
      <c r="U166" t="str">
        <f>"060031077"</f>
        <v>060031077</v>
      </c>
    </row>
    <row r="167" spans="1:21" x14ac:dyDescent="0.3">
      <c r="A167" t="str">
        <f>"130053192"</f>
        <v>130053192</v>
      </c>
      <c r="B167" t="str">
        <f>"913 087 086 00017"</f>
        <v>913 087 086 00017</v>
      </c>
      <c r="D167" t="str">
        <f>"CDS ACCES VISION AIX"</f>
        <v>CDS ACCES VISION AIX</v>
      </c>
      <c r="F167" t="str">
        <f>"645 ROUTE DE BERRE"</f>
        <v>645 ROUTE DE BERRE</v>
      </c>
      <c r="H167" t="str">
        <f>"13090"</f>
        <v>13090</v>
      </c>
      <c r="I167" t="str">
        <f>"AIX EN PROVENCE"</f>
        <v>AIX EN PROVENCE</v>
      </c>
      <c r="J167" t="str">
        <f>"04 84 89 49 19 "</f>
        <v xml:space="preserve">04 84 89 49 19 </v>
      </c>
      <c r="L167" s="1">
        <v>44900</v>
      </c>
      <c r="M167" t="str">
        <f t="shared" si="24"/>
        <v>124</v>
      </c>
      <c r="N167" t="str">
        <f t="shared" si="25"/>
        <v>Centre de Santé</v>
      </c>
      <c r="O167" t="str">
        <f t="shared" si="30"/>
        <v>60</v>
      </c>
      <c r="P167" t="str">
        <f t="shared" si="31"/>
        <v>Association Loi 1901 non Reconnue d'Utilité Publique</v>
      </c>
      <c r="Q167" t="str">
        <f t="shared" si="32"/>
        <v>36</v>
      </c>
      <c r="R167" t="str">
        <f t="shared" si="33"/>
        <v>Tarifs conventionnels assurance maladie</v>
      </c>
      <c r="U167" t="str">
        <f>"940029754"</f>
        <v>940029754</v>
      </c>
    </row>
    <row r="168" spans="1:21" x14ac:dyDescent="0.3">
      <c r="A168" t="str">
        <f>"290038827"</f>
        <v>290038827</v>
      </c>
      <c r="B168" t="str">
        <f>"912 798 535 00015"</f>
        <v>912 798 535 00015</v>
      </c>
      <c r="D168" t="str">
        <f>"CDS OPHTALMO EXPRESS BREST"</f>
        <v>CDS OPHTALMO EXPRESS BREST</v>
      </c>
      <c r="F168" t="str">
        <f>"505 RUE PROSPER GARNOT"</f>
        <v>505 RUE PROSPER GARNOT</v>
      </c>
      <c r="H168" t="str">
        <f>"29850"</f>
        <v>29850</v>
      </c>
      <c r="I168" t="str">
        <f>"GOUESNOU"</f>
        <v>GOUESNOU</v>
      </c>
      <c r="J168" t="str">
        <f>"01 77 37 36 39 "</f>
        <v xml:space="preserve">01 77 37 36 39 </v>
      </c>
      <c r="L168" s="1">
        <v>44900</v>
      </c>
      <c r="M168" t="str">
        <f t="shared" si="24"/>
        <v>124</v>
      </c>
      <c r="N168" t="str">
        <f t="shared" si="25"/>
        <v>Centre de Santé</v>
      </c>
      <c r="O168" t="str">
        <f t="shared" si="30"/>
        <v>60</v>
      </c>
      <c r="P168" t="str">
        <f t="shared" si="31"/>
        <v>Association Loi 1901 non Reconnue d'Utilité Publique</v>
      </c>
      <c r="Q168" t="str">
        <f t="shared" si="32"/>
        <v>36</v>
      </c>
      <c r="R168" t="str">
        <f t="shared" si="33"/>
        <v>Tarifs conventionnels assurance maladie</v>
      </c>
      <c r="U168" t="str">
        <f>"290038819"</f>
        <v>290038819</v>
      </c>
    </row>
    <row r="169" spans="1:21" x14ac:dyDescent="0.3">
      <c r="A169" t="str">
        <f>"330064916"</f>
        <v>330064916</v>
      </c>
      <c r="B169" t="str">
        <f>"842 032 203 00049"</f>
        <v>842 032 203 00049</v>
      </c>
      <c r="D169" t="str">
        <f>"CDS ACCESS SANTE BORDEAUX"</f>
        <v>CDS ACCESS SANTE BORDEAUX</v>
      </c>
      <c r="F169" t="str">
        <f>"2 PLACE DE L'ANCIEN CHATEAU"</f>
        <v>2 PLACE DE L'ANCIEN CHATEAU</v>
      </c>
      <c r="H169" t="str">
        <f>"33140"</f>
        <v>33140</v>
      </c>
      <c r="I169" t="str">
        <f>"VILLENAVE D ORNON"</f>
        <v>VILLENAVE D ORNON</v>
      </c>
      <c r="J169" t="str">
        <f>"01 84 80 80 37 "</f>
        <v xml:space="preserve">01 84 80 80 37 </v>
      </c>
      <c r="L169" s="1">
        <v>44900</v>
      </c>
      <c r="M169" t="str">
        <f t="shared" si="24"/>
        <v>124</v>
      </c>
      <c r="N169" t="str">
        <f t="shared" si="25"/>
        <v>Centre de Santé</v>
      </c>
      <c r="O169" t="str">
        <f t="shared" si="30"/>
        <v>60</v>
      </c>
      <c r="P169" t="str">
        <f t="shared" si="31"/>
        <v>Association Loi 1901 non Reconnue d'Utilité Publique</v>
      </c>
      <c r="Q169" t="str">
        <f t="shared" si="32"/>
        <v>36</v>
      </c>
      <c r="R169" t="str">
        <f t="shared" si="33"/>
        <v>Tarifs conventionnels assurance maladie</v>
      </c>
      <c r="U169" t="str">
        <f>"750062200"</f>
        <v>750062200</v>
      </c>
    </row>
    <row r="170" spans="1:21" x14ac:dyDescent="0.3">
      <c r="A170" t="str">
        <f>"600016893"</f>
        <v>600016893</v>
      </c>
      <c r="B170" t="str">
        <f>"901 976 878 00040"</f>
        <v>901 976 878 00040</v>
      </c>
      <c r="D170" t="str">
        <f>"CSP BEAUVAIS"</f>
        <v>CSP BEAUVAIS</v>
      </c>
      <c r="F170" t="str">
        <f>"2 RUE DE BUZANVAL"</f>
        <v>2 RUE DE BUZANVAL</v>
      </c>
      <c r="H170" t="str">
        <f>"60000"</f>
        <v>60000</v>
      </c>
      <c r="I170" t="str">
        <f>"BEAUVAIS"</f>
        <v>BEAUVAIS</v>
      </c>
      <c r="L170" s="1">
        <v>44900</v>
      </c>
      <c r="M170" t="str">
        <f t="shared" si="24"/>
        <v>124</v>
      </c>
      <c r="N170" t="str">
        <f t="shared" si="25"/>
        <v>Centre de Santé</v>
      </c>
      <c r="O170" t="str">
        <f t="shared" si="30"/>
        <v>60</v>
      </c>
      <c r="P170" t="str">
        <f t="shared" si="31"/>
        <v>Association Loi 1901 non Reconnue d'Utilité Publique</v>
      </c>
      <c r="Q170" t="str">
        <f t="shared" si="32"/>
        <v>36</v>
      </c>
      <c r="R170" t="str">
        <f t="shared" si="33"/>
        <v>Tarifs conventionnels assurance maladie</v>
      </c>
      <c r="U170" t="str">
        <f>"750069486"</f>
        <v>750069486</v>
      </c>
    </row>
    <row r="171" spans="1:21" x14ac:dyDescent="0.3">
      <c r="A171" t="str">
        <f>"690051487"</f>
        <v>690051487</v>
      </c>
      <c r="B171" t="str">
        <f>"909 765 505 00013"</f>
        <v>909 765 505 00013</v>
      </c>
      <c r="D171" t="str">
        <f>"CENTRE DE SANTE DENTAIRE D'OULLINS"</f>
        <v>CENTRE DE SANTE DENTAIRE D'OULLINS</v>
      </c>
      <c r="F171" t="str">
        <f>"145 GRANDE RUE"</f>
        <v>145 GRANDE RUE</v>
      </c>
      <c r="H171" t="str">
        <f>"69600"</f>
        <v>69600</v>
      </c>
      <c r="I171" t="str">
        <f>"OULLINS"</f>
        <v>OULLINS</v>
      </c>
      <c r="L171" s="1">
        <v>44900</v>
      </c>
      <c r="M171" t="str">
        <f t="shared" si="24"/>
        <v>124</v>
      </c>
      <c r="N171" t="str">
        <f t="shared" si="25"/>
        <v>Centre de Santé</v>
      </c>
      <c r="O171" t="str">
        <f t="shared" si="30"/>
        <v>60</v>
      </c>
      <c r="P171" t="str">
        <f t="shared" si="31"/>
        <v>Association Loi 1901 non Reconnue d'Utilité Publique</v>
      </c>
      <c r="Q171" t="str">
        <f t="shared" si="32"/>
        <v>36</v>
      </c>
      <c r="R171" t="str">
        <f t="shared" si="33"/>
        <v>Tarifs conventionnels assurance maladie</v>
      </c>
      <c r="U171" t="str">
        <f>"690051479"</f>
        <v>690051479</v>
      </c>
    </row>
    <row r="172" spans="1:21" x14ac:dyDescent="0.3">
      <c r="A172" t="str">
        <f>"780029310"</f>
        <v>780029310</v>
      </c>
      <c r="B172" t="str">
        <f>"914 239 074 00018"</f>
        <v>914 239 074 00018</v>
      </c>
      <c r="D172" t="str">
        <f>"CDS MEDIT SMILE CLINIC"</f>
        <v>CDS MEDIT SMILE CLINIC</v>
      </c>
      <c r="F172" t="str">
        <f>"64 RUE PORTE AUX SAINTS"</f>
        <v>64 RUE PORTE AUX SAINTS</v>
      </c>
      <c r="H172" t="str">
        <f>"78200"</f>
        <v>78200</v>
      </c>
      <c r="I172" t="str">
        <f>"MANTES LA JOLIE"</f>
        <v>MANTES LA JOLIE</v>
      </c>
      <c r="J172" t="str">
        <f>"07 60 39 51 15 "</f>
        <v xml:space="preserve">07 60 39 51 15 </v>
      </c>
      <c r="L172" s="1">
        <v>44900</v>
      </c>
      <c r="M172" t="str">
        <f t="shared" si="24"/>
        <v>124</v>
      </c>
      <c r="N172" t="str">
        <f t="shared" si="25"/>
        <v>Centre de Santé</v>
      </c>
      <c r="O172" t="str">
        <f t="shared" si="30"/>
        <v>60</v>
      </c>
      <c r="P172" t="str">
        <f t="shared" si="31"/>
        <v>Association Loi 1901 non Reconnue d'Utilité Publique</v>
      </c>
      <c r="Q172" t="str">
        <f t="shared" si="32"/>
        <v>36</v>
      </c>
      <c r="R172" t="str">
        <f t="shared" si="33"/>
        <v>Tarifs conventionnels assurance maladie</v>
      </c>
      <c r="U172" t="str">
        <f>"750071011"</f>
        <v>750071011</v>
      </c>
    </row>
    <row r="173" spans="1:21" x14ac:dyDescent="0.3">
      <c r="A173" t="str">
        <f>"920039617"</f>
        <v>920039617</v>
      </c>
      <c r="B173" t="str">
        <f>"917 748 576 00019"</f>
        <v>917 748 576 00019</v>
      </c>
      <c r="D173" t="str">
        <f>"CDS DENTAIRE ECO LA VALLEE CHATENAY"</f>
        <v>CDS DENTAIRE ECO LA VALLEE CHATENAY</v>
      </c>
      <c r="F173" t="str">
        <f>"3 RUE DE L OISEAU BLEU"</f>
        <v>3 RUE DE L OISEAU BLEU</v>
      </c>
      <c r="H173" t="str">
        <f>"92290"</f>
        <v>92290</v>
      </c>
      <c r="I173" t="str">
        <f>"CHATENAY MALABRY"</f>
        <v>CHATENAY MALABRY</v>
      </c>
      <c r="J173" t="str">
        <f>"01 84 21 99 93 "</f>
        <v xml:space="preserve">01 84 21 99 93 </v>
      </c>
      <c r="L173" s="1">
        <v>44900</v>
      </c>
      <c r="M173" t="str">
        <f t="shared" si="24"/>
        <v>124</v>
      </c>
      <c r="N173" t="str">
        <f t="shared" si="25"/>
        <v>Centre de Santé</v>
      </c>
      <c r="O173" t="str">
        <f>"01"</f>
        <v>01</v>
      </c>
      <c r="P173" t="str">
        <f>"Etat"</f>
        <v>Etat</v>
      </c>
      <c r="Q173" t="str">
        <f t="shared" si="32"/>
        <v>36</v>
      </c>
      <c r="R173" t="str">
        <f t="shared" si="33"/>
        <v>Tarifs conventionnels assurance maladie</v>
      </c>
      <c r="U173" t="str">
        <f>"920039609"</f>
        <v>920039609</v>
      </c>
    </row>
    <row r="174" spans="1:21" x14ac:dyDescent="0.3">
      <c r="A174" t="str">
        <f>"920039849"</f>
        <v>920039849</v>
      </c>
      <c r="B174" t="str">
        <f>"909 677 395 00016"</f>
        <v>909 677 395 00016</v>
      </c>
      <c r="D174" t="str">
        <f>"CDS MED DENTAIRE MALAKOFF STALINGRAD"</f>
        <v>CDS MED DENTAIRE MALAKOFF STALINGRAD</v>
      </c>
      <c r="F174" t="str">
        <f>"21 BOULEVARD DE STALINGRAD"</f>
        <v>21 BOULEVARD DE STALINGRAD</v>
      </c>
      <c r="H174" t="str">
        <f>"92240"</f>
        <v>92240</v>
      </c>
      <c r="I174" t="str">
        <f>"MALAKOFF"</f>
        <v>MALAKOFF</v>
      </c>
      <c r="J174" t="str">
        <f>"01 80 87 26 80 "</f>
        <v xml:space="preserve">01 80 87 26 80 </v>
      </c>
      <c r="L174" s="1">
        <v>44900</v>
      </c>
      <c r="M174" t="str">
        <f t="shared" si="24"/>
        <v>124</v>
      </c>
      <c r="N174" t="str">
        <f t="shared" si="25"/>
        <v>Centre de Santé</v>
      </c>
      <c r="O174" t="str">
        <f>"60"</f>
        <v>60</v>
      </c>
      <c r="P174" t="str">
        <f>"Association Loi 1901 non Reconnue d'Utilité Publique"</f>
        <v>Association Loi 1901 non Reconnue d'Utilité Publique</v>
      </c>
      <c r="Q174" t="str">
        <f t="shared" si="32"/>
        <v>36</v>
      </c>
      <c r="R174" t="str">
        <f t="shared" si="33"/>
        <v>Tarifs conventionnels assurance maladie</v>
      </c>
      <c r="U174" t="str">
        <f>"920039831"</f>
        <v>920039831</v>
      </c>
    </row>
    <row r="175" spans="1:21" x14ac:dyDescent="0.3">
      <c r="A175" t="str">
        <f>"930032446"</f>
        <v>930032446</v>
      </c>
      <c r="B175" t="str">
        <f>"914 668 504 00014"</f>
        <v>914 668 504 00014</v>
      </c>
      <c r="D175" t="str">
        <f>"CDS DENTAIRE DU PARC DES EXPOSITIONS"</f>
        <v>CDS DENTAIRE DU PARC DES EXPOSITIONS</v>
      </c>
      <c r="E175" t="str">
        <f>"83-85"</f>
        <v>83-85</v>
      </c>
      <c r="F175" t="str">
        <f>"83 AVENUE DES NATIONS"</f>
        <v>83 AVENUE DES NATIONS</v>
      </c>
      <c r="H175" t="str">
        <f>"93420"</f>
        <v>93420</v>
      </c>
      <c r="I175" t="str">
        <f>"VILLEPINTE"</f>
        <v>VILLEPINTE</v>
      </c>
      <c r="J175" t="str">
        <f>"01 84 21 05 71 "</f>
        <v xml:space="preserve">01 84 21 05 71 </v>
      </c>
      <c r="L175" s="1">
        <v>44900</v>
      </c>
      <c r="M175" t="str">
        <f t="shared" si="24"/>
        <v>124</v>
      </c>
      <c r="N175" t="str">
        <f t="shared" si="25"/>
        <v>Centre de Santé</v>
      </c>
      <c r="O175" t="str">
        <f>"60"</f>
        <v>60</v>
      </c>
      <c r="P175" t="str">
        <f>"Association Loi 1901 non Reconnue d'Utilité Publique"</f>
        <v>Association Loi 1901 non Reconnue d'Utilité Publique</v>
      </c>
      <c r="Q175" t="str">
        <f t="shared" si="32"/>
        <v>36</v>
      </c>
      <c r="R175" t="str">
        <f t="shared" si="33"/>
        <v>Tarifs conventionnels assurance maladie</v>
      </c>
      <c r="U175" t="str">
        <f>"930032438"</f>
        <v>930032438</v>
      </c>
    </row>
    <row r="176" spans="1:21" x14ac:dyDescent="0.3">
      <c r="A176" t="str">
        <f>"920038056"</f>
        <v>920038056</v>
      </c>
      <c r="B176" t="str">
        <f>"898 800 537 00018"</f>
        <v>898 800 537 00018</v>
      </c>
      <c r="D176" t="str">
        <f>"CDS OPHTALMOLOGIQUE ET DENTAIRE RUEIL"</f>
        <v>CDS OPHTALMOLOGIQUE ET DENTAIRE RUEIL</v>
      </c>
      <c r="F176" t="str">
        <f>"28 AVENUE PAUL DOUMER"</f>
        <v>28 AVENUE PAUL DOUMER</v>
      </c>
      <c r="H176" t="str">
        <f>"92500"</f>
        <v>92500</v>
      </c>
      <c r="I176" t="str">
        <f>"RUEIL MALMAISON"</f>
        <v>RUEIL MALMAISON</v>
      </c>
      <c r="J176" t="str">
        <f>"01 86 70 91 12 "</f>
        <v xml:space="preserve">01 86 70 91 12 </v>
      </c>
      <c r="L176" s="1">
        <v>44897</v>
      </c>
      <c r="M176" t="str">
        <f t="shared" si="24"/>
        <v>124</v>
      </c>
      <c r="N176" t="str">
        <f t="shared" si="25"/>
        <v>Centre de Santé</v>
      </c>
      <c r="O176" t="str">
        <f>"60"</f>
        <v>60</v>
      </c>
      <c r="P176" t="str">
        <f>"Association Loi 1901 non Reconnue d'Utilité Publique"</f>
        <v>Association Loi 1901 non Reconnue d'Utilité Publique</v>
      </c>
      <c r="Q176" t="str">
        <f t="shared" si="32"/>
        <v>36</v>
      </c>
      <c r="R176" t="str">
        <f t="shared" si="33"/>
        <v>Tarifs conventionnels assurance maladie</v>
      </c>
      <c r="U176" t="str">
        <f>"920038049"</f>
        <v>920038049</v>
      </c>
    </row>
    <row r="177" spans="1:21" x14ac:dyDescent="0.3">
      <c r="A177" t="str">
        <f>"270030414"</f>
        <v>270030414</v>
      </c>
      <c r="B177" t="str">
        <f>"212 701 809 00080"</f>
        <v>212 701 809 00080</v>
      </c>
      <c r="D177" t="str">
        <f>"CENTRE DE SANTE DE COURCELLES S/ SEINE"</f>
        <v>CENTRE DE SANTE DE COURCELLES S/ SEINE</v>
      </c>
      <c r="F177" t="str">
        <f>"2 RUE DU CHATEAU D'EAU"</f>
        <v>2 RUE DU CHATEAU D'EAU</v>
      </c>
      <c r="H177" t="str">
        <f>"27940"</f>
        <v>27940</v>
      </c>
      <c r="I177" t="str">
        <f>"COURCELLES SUR SEINE"</f>
        <v>COURCELLES SUR SEINE</v>
      </c>
      <c r="J177" t="str">
        <f>"02 32 53 02 51 "</f>
        <v xml:space="preserve">02 32 53 02 51 </v>
      </c>
      <c r="L177" s="1">
        <v>44896</v>
      </c>
      <c r="M177" t="str">
        <f t="shared" si="24"/>
        <v>124</v>
      </c>
      <c r="N177" t="str">
        <f t="shared" si="25"/>
        <v>Centre de Santé</v>
      </c>
      <c r="O177" t="str">
        <f>"03"</f>
        <v>03</v>
      </c>
      <c r="P177" t="str">
        <f>"Commune"</f>
        <v>Commune</v>
      </c>
      <c r="Q177" t="str">
        <f t="shared" si="32"/>
        <v>36</v>
      </c>
      <c r="R177" t="str">
        <f t="shared" si="33"/>
        <v>Tarifs conventionnels assurance maladie</v>
      </c>
      <c r="U177" t="str">
        <f>"270030406"</f>
        <v>270030406</v>
      </c>
    </row>
    <row r="178" spans="1:21" x14ac:dyDescent="0.3">
      <c r="A178" t="str">
        <f>"380026757"</f>
        <v>380026757</v>
      </c>
      <c r="B178" t="str">
        <f>"891 307 845 00026"</f>
        <v>891 307 845 00026</v>
      </c>
      <c r="D178" t="str">
        <f>"CENTRE DE SANTE DENTAIRE CHARVIEU"</f>
        <v>CENTRE DE SANTE DENTAIRE CHARVIEU</v>
      </c>
      <c r="F178" t="str">
        <f>"11 RUE DES ALLOBROGES"</f>
        <v>11 RUE DES ALLOBROGES</v>
      </c>
      <c r="H178" t="str">
        <f>"38230"</f>
        <v>38230</v>
      </c>
      <c r="I178" t="str">
        <f>"CHARVIEU CHAVAGNEUX"</f>
        <v>CHARVIEU CHAVAGNEUX</v>
      </c>
      <c r="J178" t="str">
        <f>"04 72 00 51 90 "</f>
        <v xml:space="preserve">04 72 00 51 90 </v>
      </c>
      <c r="L178" s="1">
        <v>44896</v>
      </c>
      <c r="M178" t="str">
        <f t="shared" si="24"/>
        <v>124</v>
      </c>
      <c r="N178" t="str">
        <f t="shared" si="25"/>
        <v>Centre de Santé</v>
      </c>
      <c r="O178" t="str">
        <f>"60"</f>
        <v>60</v>
      </c>
      <c r="P178" t="str">
        <f>"Association Loi 1901 non Reconnue d'Utilité Publique"</f>
        <v>Association Loi 1901 non Reconnue d'Utilité Publique</v>
      </c>
      <c r="Q178" t="str">
        <f t="shared" si="32"/>
        <v>36</v>
      </c>
      <c r="R178" t="str">
        <f t="shared" si="33"/>
        <v>Tarifs conventionnels assurance maladie</v>
      </c>
      <c r="U178" t="str">
        <f>"690048970"</f>
        <v>690048970</v>
      </c>
    </row>
    <row r="179" spans="1:21" x14ac:dyDescent="0.3">
      <c r="A179" t="str">
        <f>"690052055"</f>
        <v>690052055</v>
      </c>
      <c r="B179" t="str">
        <f>"912 729 407 00011"</f>
        <v>912 729 407 00011</v>
      </c>
      <c r="D179" t="str">
        <f>"CENTRE DE SANTE MEDICAL SANS SOUCI"</f>
        <v>CENTRE DE SANTE MEDICAL SANS SOUCI</v>
      </c>
      <c r="F179" t="str">
        <f>"86 RUE DU DAUPHINE"</f>
        <v>86 RUE DU DAUPHINE</v>
      </c>
      <c r="H179" t="str">
        <f>"69003"</f>
        <v>69003</v>
      </c>
      <c r="I179" t="str">
        <f>"LYON"</f>
        <v>LYON</v>
      </c>
      <c r="J179" t="str">
        <f>"04 51 23 64 40 "</f>
        <v xml:space="preserve">04 51 23 64 40 </v>
      </c>
      <c r="L179" s="1">
        <v>44896</v>
      </c>
      <c r="M179" t="str">
        <f t="shared" si="24"/>
        <v>124</v>
      </c>
      <c r="N179" t="str">
        <f t="shared" si="25"/>
        <v>Centre de Santé</v>
      </c>
      <c r="O179" t="str">
        <f>"60"</f>
        <v>60</v>
      </c>
      <c r="P179" t="str">
        <f>"Association Loi 1901 non Reconnue d'Utilité Publique"</f>
        <v>Association Loi 1901 non Reconnue d'Utilité Publique</v>
      </c>
      <c r="Q179" t="str">
        <f t="shared" si="32"/>
        <v>36</v>
      </c>
      <c r="R179" t="str">
        <f t="shared" si="33"/>
        <v>Tarifs conventionnels assurance maladie</v>
      </c>
      <c r="U179" t="str">
        <f>"690052048"</f>
        <v>690052048</v>
      </c>
    </row>
    <row r="180" spans="1:21" x14ac:dyDescent="0.3">
      <c r="A180" t="str">
        <f>"910026608"</f>
        <v>910026608</v>
      </c>
      <c r="B180" t="str">
        <f>"914 163 761 00010"</f>
        <v>914 163 761 00010</v>
      </c>
      <c r="D180" t="str">
        <f>"CDS DENTAIRE DENTAPTE ETAMPES"</f>
        <v>CDS DENTAIRE DENTAPTE ETAMPES</v>
      </c>
      <c r="F180" t="str">
        <f>"26 RUE LOUIS MOREAU"</f>
        <v>26 RUE LOUIS MOREAU</v>
      </c>
      <c r="H180" t="str">
        <f>"91150"</f>
        <v>91150</v>
      </c>
      <c r="I180" t="str">
        <f>"ETAMPES"</f>
        <v>ETAMPES</v>
      </c>
      <c r="J180" t="str">
        <f>"01 86 70 91 26 "</f>
        <v xml:space="preserve">01 86 70 91 26 </v>
      </c>
      <c r="L180" s="1">
        <v>44896</v>
      </c>
      <c r="M180" t="str">
        <f t="shared" si="24"/>
        <v>124</v>
      </c>
      <c r="N180" t="str">
        <f t="shared" si="25"/>
        <v>Centre de Santé</v>
      </c>
      <c r="O180" t="str">
        <f>"60"</f>
        <v>60</v>
      </c>
      <c r="P180" t="str">
        <f>"Association Loi 1901 non Reconnue d'Utilité Publique"</f>
        <v>Association Loi 1901 non Reconnue d'Utilité Publique</v>
      </c>
      <c r="Q180" t="str">
        <f t="shared" si="32"/>
        <v>36</v>
      </c>
      <c r="R180" t="str">
        <f t="shared" si="33"/>
        <v>Tarifs conventionnels assurance maladie</v>
      </c>
      <c r="U180" t="str">
        <f>"910026590"</f>
        <v>910026590</v>
      </c>
    </row>
    <row r="181" spans="1:21" x14ac:dyDescent="0.3">
      <c r="A181" t="str">
        <f>"920036597"</f>
        <v>920036597</v>
      </c>
      <c r="D181" t="str">
        <f>"CDS CTAR 92"</f>
        <v>CDS CTAR 92</v>
      </c>
      <c r="E181" t="str">
        <f>"62-70"</f>
        <v>62-70</v>
      </c>
      <c r="F181" t="str">
        <f>"62 RUE BLANCHARD"</f>
        <v>62 RUE BLANCHARD</v>
      </c>
      <c r="H181" t="str">
        <f>"92260"</f>
        <v>92260</v>
      </c>
      <c r="I181" t="str">
        <f>"FONTENAY AUX ROSES"</f>
        <v>FONTENAY AUX ROSES</v>
      </c>
      <c r="J181" t="str">
        <f>"01 41 87 88 05 "</f>
        <v xml:space="preserve">01 41 87 88 05 </v>
      </c>
      <c r="L181" s="1">
        <v>44896</v>
      </c>
      <c r="M181" t="str">
        <f t="shared" si="24"/>
        <v>124</v>
      </c>
      <c r="N181" t="str">
        <f t="shared" si="25"/>
        <v>Centre de Santé</v>
      </c>
      <c r="O181" t="str">
        <f>"61"</f>
        <v>61</v>
      </c>
      <c r="P181" t="str">
        <f>"Association Loi 1901 Reconnue d'Utilité Publique"</f>
        <v>Association Loi 1901 Reconnue d'Utilité Publique</v>
      </c>
      <c r="Q181" t="str">
        <f t="shared" si="32"/>
        <v>36</v>
      </c>
      <c r="R181" t="str">
        <f t="shared" si="33"/>
        <v>Tarifs conventionnels assurance maladie</v>
      </c>
      <c r="U181" t="str">
        <f>"750060279"</f>
        <v>750060279</v>
      </c>
    </row>
    <row r="182" spans="1:21" x14ac:dyDescent="0.3">
      <c r="A182" t="str">
        <f>"490022779"</f>
        <v>490022779</v>
      </c>
      <c r="D182" t="str">
        <f>"CLINIDENT CHOLET"</f>
        <v>CLINIDENT CHOLET</v>
      </c>
      <c r="F182" t="str">
        <f>"21 RUE EUGENE BREMOND"</f>
        <v>21 RUE EUGENE BREMOND</v>
      </c>
      <c r="H182" t="str">
        <f>"49300"</f>
        <v>49300</v>
      </c>
      <c r="I182" t="str">
        <f>"CHOLET"</f>
        <v>CHOLET</v>
      </c>
      <c r="J182" t="str">
        <f>"02 41 62 59 64 "</f>
        <v xml:space="preserve">02 41 62 59 64 </v>
      </c>
      <c r="L182" s="1">
        <v>44894</v>
      </c>
      <c r="M182" t="str">
        <f t="shared" si="24"/>
        <v>124</v>
      </c>
      <c r="N182" t="str">
        <f t="shared" si="25"/>
        <v>Centre de Santé</v>
      </c>
      <c r="O182" t="str">
        <f t="shared" ref="O182:O193" si="34">"60"</f>
        <v>60</v>
      </c>
      <c r="P182" t="str">
        <f t="shared" ref="P182:P193" si="35">"Association Loi 1901 non Reconnue d'Utilité Publique"</f>
        <v>Association Loi 1901 non Reconnue d'Utilité Publique</v>
      </c>
      <c r="Q182" t="str">
        <f t="shared" si="32"/>
        <v>36</v>
      </c>
      <c r="R182" t="str">
        <f t="shared" si="33"/>
        <v>Tarifs conventionnels assurance maladie</v>
      </c>
      <c r="U182" t="str">
        <f>"490022761"</f>
        <v>490022761</v>
      </c>
    </row>
    <row r="183" spans="1:21" x14ac:dyDescent="0.3">
      <c r="A183" t="str">
        <f>"930031240"</f>
        <v>930031240</v>
      </c>
      <c r="B183" t="str">
        <f>"821 254 828 00014"</f>
        <v>821 254 828 00014</v>
      </c>
      <c r="D183" t="str">
        <f>"CDS MEDICAL ET DENTAIRE ROMAINVILLE"</f>
        <v>CDS MEDICAL ET DENTAIRE ROMAINVILLE</v>
      </c>
      <c r="F183" t="str">
        <f>"60 AVENUE GASTON ROUSSEL"</f>
        <v>60 AVENUE GASTON ROUSSEL</v>
      </c>
      <c r="H183" t="str">
        <f>"93230"</f>
        <v>93230</v>
      </c>
      <c r="I183" t="str">
        <f>"ROMAINVILLE"</f>
        <v>ROMAINVILLE</v>
      </c>
      <c r="J183" t="str">
        <f>"01 85 78 35 05 "</f>
        <v xml:space="preserve">01 85 78 35 05 </v>
      </c>
      <c r="L183" s="1">
        <v>44894</v>
      </c>
      <c r="M183" t="str">
        <f t="shared" si="24"/>
        <v>124</v>
      </c>
      <c r="N183" t="str">
        <f t="shared" si="25"/>
        <v>Centre de Santé</v>
      </c>
      <c r="O183" t="str">
        <f t="shared" si="34"/>
        <v>60</v>
      </c>
      <c r="P183" t="str">
        <f t="shared" si="35"/>
        <v>Association Loi 1901 non Reconnue d'Utilité Publique</v>
      </c>
      <c r="Q183" t="str">
        <f t="shared" si="32"/>
        <v>36</v>
      </c>
      <c r="R183" t="str">
        <f t="shared" si="33"/>
        <v>Tarifs conventionnels assurance maladie</v>
      </c>
      <c r="U183" t="str">
        <f>"750068942"</f>
        <v>750068942</v>
      </c>
    </row>
    <row r="184" spans="1:21" x14ac:dyDescent="0.3">
      <c r="A184" t="str">
        <f>"760040154"</f>
        <v>760040154</v>
      </c>
      <c r="B184" t="str">
        <f>"905 323 994 00012"</f>
        <v>905 323 994 00012</v>
      </c>
      <c r="D184" t="str">
        <f>"CENTRE DENTAIRE DE FÉCAMP"</f>
        <v>CENTRE DENTAIRE DE FÉCAMP</v>
      </c>
      <c r="F184" t="str">
        <f>"14 RUE ALEXANDRE LEGROS"</f>
        <v>14 RUE ALEXANDRE LEGROS</v>
      </c>
      <c r="H184" t="str">
        <f>"76400"</f>
        <v>76400</v>
      </c>
      <c r="I184" t="str">
        <f>"FECAMP"</f>
        <v>FECAMP</v>
      </c>
      <c r="J184" t="str">
        <f>"02 30 32 14 19 "</f>
        <v xml:space="preserve">02 30 32 14 19 </v>
      </c>
      <c r="L184" s="1">
        <v>44893</v>
      </c>
      <c r="M184" t="str">
        <f t="shared" si="24"/>
        <v>124</v>
      </c>
      <c r="N184" t="str">
        <f t="shared" si="25"/>
        <v>Centre de Santé</v>
      </c>
      <c r="O184" t="str">
        <f t="shared" si="34"/>
        <v>60</v>
      </c>
      <c r="P184" t="str">
        <f t="shared" si="35"/>
        <v>Association Loi 1901 non Reconnue d'Utilité Publique</v>
      </c>
      <c r="Q184" t="str">
        <f t="shared" si="32"/>
        <v>36</v>
      </c>
      <c r="R184" t="str">
        <f t="shared" si="33"/>
        <v>Tarifs conventionnels assurance maladie</v>
      </c>
      <c r="U184" t="str">
        <f>"760040311"</f>
        <v>760040311</v>
      </c>
    </row>
    <row r="185" spans="1:21" x14ac:dyDescent="0.3">
      <c r="A185" t="str">
        <f>"950047266"</f>
        <v>950047266</v>
      </c>
      <c r="B185" t="str">
        <f>"918 403 213 00013"</f>
        <v>918 403 213 00013</v>
      </c>
      <c r="D185" t="str">
        <f>"CDS MEDICAL DENTAIRE PUISEUX LOUVRE"</f>
        <v>CDS MEDICAL DENTAIRE PUISEUX LOUVRE</v>
      </c>
      <c r="E185" t="str">
        <f>"2-4"</f>
        <v>2-4</v>
      </c>
      <c r="F185" t="str">
        <f>"2 RUE DU COMMANDANT COUSTEAU"</f>
        <v>2 RUE DU COMMANDANT COUSTEAU</v>
      </c>
      <c r="H185" t="str">
        <f>"95380"</f>
        <v>95380</v>
      </c>
      <c r="I185" t="str">
        <f>"PUISEUX EN FRANCE"</f>
        <v>PUISEUX EN FRANCE</v>
      </c>
      <c r="J185" t="str">
        <f>"01 85 52 00 32 "</f>
        <v xml:space="preserve">01 85 52 00 32 </v>
      </c>
      <c r="L185" s="1">
        <v>44893</v>
      </c>
      <c r="M185" t="str">
        <f t="shared" si="24"/>
        <v>124</v>
      </c>
      <c r="N185" t="str">
        <f t="shared" si="25"/>
        <v>Centre de Santé</v>
      </c>
      <c r="O185" t="str">
        <f t="shared" si="34"/>
        <v>60</v>
      </c>
      <c r="P185" t="str">
        <f t="shared" si="35"/>
        <v>Association Loi 1901 non Reconnue d'Utilité Publique</v>
      </c>
      <c r="Q185" t="str">
        <f t="shared" si="32"/>
        <v>36</v>
      </c>
      <c r="R185" t="str">
        <f t="shared" si="33"/>
        <v>Tarifs conventionnels assurance maladie</v>
      </c>
      <c r="U185" t="str">
        <f>"950047258"</f>
        <v>950047258</v>
      </c>
    </row>
    <row r="186" spans="1:21" x14ac:dyDescent="0.3">
      <c r="A186" t="str">
        <f>"750071227"</f>
        <v>750071227</v>
      </c>
      <c r="B186" t="str">
        <f>"910 089 804 00017"</f>
        <v>910 089 804 00017</v>
      </c>
      <c r="D186" t="str">
        <f>"CDS SMO MONTPARNASSE CENTRE MED ORL"</f>
        <v>CDS SMO MONTPARNASSE CENTRE MED ORL</v>
      </c>
      <c r="F186" t="str">
        <f>"160 BOULEVARD MONTPARNASSE"</f>
        <v>160 BOULEVARD MONTPARNASSE</v>
      </c>
      <c r="H186" t="str">
        <f>"75014"</f>
        <v>75014</v>
      </c>
      <c r="I186" t="str">
        <f>"PARIS"</f>
        <v>PARIS</v>
      </c>
      <c r="L186" s="1">
        <v>44889</v>
      </c>
      <c r="M186" t="str">
        <f t="shared" si="24"/>
        <v>124</v>
      </c>
      <c r="N186" t="str">
        <f t="shared" si="25"/>
        <v>Centre de Santé</v>
      </c>
      <c r="O186" t="str">
        <f t="shared" si="34"/>
        <v>60</v>
      </c>
      <c r="P186" t="str">
        <f t="shared" si="35"/>
        <v>Association Loi 1901 non Reconnue d'Utilité Publique</v>
      </c>
      <c r="Q186" t="str">
        <f t="shared" si="32"/>
        <v>36</v>
      </c>
      <c r="R186" t="str">
        <f t="shared" si="33"/>
        <v>Tarifs conventionnels assurance maladie</v>
      </c>
      <c r="U186" t="str">
        <f>"750071219"</f>
        <v>750071219</v>
      </c>
    </row>
    <row r="187" spans="1:21" x14ac:dyDescent="0.3">
      <c r="A187" t="str">
        <f>"570030098"</f>
        <v>570030098</v>
      </c>
      <c r="B187" t="str">
        <f>"915 203 129 00019"</f>
        <v>915 203 129 00019</v>
      </c>
      <c r="D187" t="str">
        <f>"CENTRE ACCES VISION METZ"</f>
        <v>CENTRE ACCES VISION METZ</v>
      </c>
      <c r="F187" t="str">
        <f>"19 RUE DU COETLOSQUET"</f>
        <v>19 RUE DU COETLOSQUET</v>
      </c>
      <c r="H187" t="str">
        <f>"57000"</f>
        <v>57000</v>
      </c>
      <c r="I187" t="str">
        <f>"METZ"</f>
        <v>METZ</v>
      </c>
      <c r="J187" t="str">
        <f>"06 99 25 26 05 "</f>
        <v xml:space="preserve">06 99 25 26 05 </v>
      </c>
      <c r="L187" s="1">
        <v>44888</v>
      </c>
      <c r="M187" t="str">
        <f t="shared" si="24"/>
        <v>124</v>
      </c>
      <c r="N187" t="str">
        <f t="shared" si="25"/>
        <v>Centre de Santé</v>
      </c>
      <c r="O187" t="str">
        <f t="shared" si="34"/>
        <v>60</v>
      </c>
      <c r="P187" t="str">
        <f t="shared" si="35"/>
        <v>Association Loi 1901 non Reconnue d'Utilité Publique</v>
      </c>
      <c r="Q187" t="str">
        <f t="shared" si="32"/>
        <v>36</v>
      </c>
      <c r="R187" t="str">
        <f t="shared" si="33"/>
        <v>Tarifs conventionnels assurance maladie</v>
      </c>
      <c r="U187" t="str">
        <f>"940029671"</f>
        <v>940029671</v>
      </c>
    </row>
    <row r="188" spans="1:21" x14ac:dyDescent="0.3">
      <c r="A188" t="str">
        <f>"680023470"</f>
        <v>680023470</v>
      </c>
      <c r="B188" t="str">
        <f>"919 143 354 00026"</f>
        <v>919 143 354 00026</v>
      </c>
      <c r="D188" t="str">
        <f>"CENTRE DE SANTE DENTAIRE DENTAL AXE"</f>
        <v>CENTRE DE SANTE DENTAIRE DENTAL AXE</v>
      </c>
      <c r="F188" t="str">
        <f>"13 RUE DE LYON"</f>
        <v>13 RUE DE LYON</v>
      </c>
      <c r="H188" t="str">
        <f>"68100"</f>
        <v>68100</v>
      </c>
      <c r="I188" t="str">
        <f>"MULHOUSE"</f>
        <v>MULHOUSE</v>
      </c>
      <c r="J188" t="str">
        <f>"03 89 54 16 75 "</f>
        <v xml:space="preserve">03 89 54 16 75 </v>
      </c>
      <c r="L188" s="1">
        <v>44886</v>
      </c>
      <c r="M188" t="str">
        <f t="shared" si="24"/>
        <v>124</v>
      </c>
      <c r="N188" t="str">
        <f t="shared" si="25"/>
        <v>Centre de Santé</v>
      </c>
      <c r="O188" t="str">
        <f t="shared" si="34"/>
        <v>60</v>
      </c>
      <c r="P188" t="str">
        <f t="shared" si="35"/>
        <v>Association Loi 1901 non Reconnue d'Utilité Publique</v>
      </c>
      <c r="Q188" t="str">
        <f t="shared" si="32"/>
        <v>36</v>
      </c>
      <c r="R188" t="str">
        <f t="shared" si="33"/>
        <v>Tarifs conventionnels assurance maladie</v>
      </c>
      <c r="U188" t="str">
        <f>"250021771"</f>
        <v>250021771</v>
      </c>
    </row>
    <row r="189" spans="1:21" x14ac:dyDescent="0.3">
      <c r="A189" t="str">
        <f>"750069742"</f>
        <v>750069742</v>
      </c>
      <c r="B189" t="str">
        <f>"903 062 370 00015"</f>
        <v>903 062 370 00015</v>
      </c>
      <c r="D189" t="str">
        <f>"CDS ACCESS ECHOGRAPHIE TERNES"</f>
        <v>CDS ACCESS ECHOGRAPHIE TERNES</v>
      </c>
      <c r="F189" t="str">
        <f>"5 PLACE DES TERNES"</f>
        <v>5 PLACE DES TERNES</v>
      </c>
      <c r="H189" t="str">
        <f>"75017"</f>
        <v>75017</v>
      </c>
      <c r="I189" t="str">
        <f>"PARIS"</f>
        <v>PARIS</v>
      </c>
      <c r="J189" t="str">
        <f>"01 85 78 13 51 "</f>
        <v xml:space="preserve">01 85 78 13 51 </v>
      </c>
      <c r="L189" s="1">
        <v>44886</v>
      </c>
      <c r="M189" t="str">
        <f t="shared" si="24"/>
        <v>124</v>
      </c>
      <c r="N189" t="str">
        <f t="shared" si="25"/>
        <v>Centre de Santé</v>
      </c>
      <c r="O189" t="str">
        <f t="shared" si="34"/>
        <v>60</v>
      </c>
      <c r="P189" t="str">
        <f t="shared" si="35"/>
        <v>Association Loi 1901 non Reconnue d'Utilité Publique</v>
      </c>
      <c r="Q189" t="str">
        <f t="shared" si="32"/>
        <v>36</v>
      </c>
      <c r="R189" t="str">
        <f t="shared" si="33"/>
        <v>Tarifs conventionnels assurance maladie</v>
      </c>
      <c r="U189" t="str">
        <f>"750069734"</f>
        <v>750069734</v>
      </c>
    </row>
    <row r="190" spans="1:21" x14ac:dyDescent="0.3">
      <c r="A190" t="str">
        <f>"770026649"</f>
        <v>770026649</v>
      </c>
      <c r="B190" t="str">
        <f>"914 639 216 00029"</f>
        <v>914 639 216 00029</v>
      </c>
      <c r="D190" t="str">
        <f>"CDS DU CHATELET EN BRIE"</f>
        <v>CDS DU CHATELET EN BRIE</v>
      </c>
      <c r="F190" t="str">
        <f>"37 ALLEE DES PIGNONS BLANCS"</f>
        <v>37 ALLEE DES PIGNONS BLANCS</v>
      </c>
      <c r="H190" t="str">
        <f>"77820"</f>
        <v>77820</v>
      </c>
      <c r="I190" t="str">
        <f>"LE CHATELET EN BRIE"</f>
        <v>LE CHATELET EN BRIE</v>
      </c>
      <c r="J190" t="str">
        <f>"01 85 86 03 30 "</f>
        <v xml:space="preserve">01 85 86 03 30 </v>
      </c>
      <c r="L190" s="1">
        <v>44886</v>
      </c>
      <c r="M190" t="str">
        <f t="shared" si="24"/>
        <v>124</v>
      </c>
      <c r="N190" t="str">
        <f t="shared" si="25"/>
        <v>Centre de Santé</v>
      </c>
      <c r="O190" t="str">
        <f t="shared" si="34"/>
        <v>60</v>
      </c>
      <c r="P190" t="str">
        <f t="shared" si="35"/>
        <v>Association Loi 1901 non Reconnue d'Utilité Publique</v>
      </c>
      <c r="Q190" t="str">
        <f t="shared" si="32"/>
        <v>36</v>
      </c>
      <c r="R190" t="str">
        <f t="shared" si="33"/>
        <v>Tarifs conventionnels assurance maladie</v>
      </c>
      <c r="U190" t="str">
        <f>"770026631"</f>
        <v>770026631</v>
      </c>
    </row>
    <row r="191" spans="1:21" x14ac:dyDescent="0.3">
      <c r="A191" t="str">
        <f>"950046508"</f>
        <v>950046508</v>
      </c>
      <c r="B191" t="str">
        <f>"905 119 046 00019"</f>
        <v>905 119 046 00019</v>
      </c>
      <c r="D191" t="str">
        <f>"CDS MEDICAL GROSLAY CARNOT"</f>
        <v>CDS MEDICAL GROSLAY CARNOT</v>
      </c>
      <c r="E191" t="str">
        <f>"8-12"</f>
        <v>8-12</v>
      </c>
      <c r="F191" t="str">
        <f>"8 RUE CARNOT"</f>
        <v>8 RUE CARNOT</v>
      </c>
      <c r="H191" t="str">
        <f>"95410"</f>
        <v>95410</v>
      </c>
      <c r="I191" t="str">
        <f>"GROSLAY"</f>
        <v>GROSLAY</v>
      </c>
      <c r="J191" t="str">
        <f>"06 12 81 19 25 "</f>
        <v xml:space="preserve">06 12 81 19 25 </v>
      </c>
      <c r="L191" s="1">
        <v>44886</v>
      </c>
      <c r="M191" t="str">
        <f t="shared" si="24"/>
        <v>124</v>
      </c>
      <c r="N191" t="str">
        <f t="shared" si="25"/>
        <v>Centre de Santé</v>
      </c>
      <c r="O191" t="str">
        <f t="shared" si="34"/>
        <v>60</v>
      </c>
      <c r="P191" t="str">
        <f t="shared" si="35"/>
        <v>Association Loi 1901 non Reconnue d'Utilité Publique</v>
      </c>
      <c r="Q191" t="str">
        <f t="shared" si="32"/>
        <v>36</v>
      </c>
      <c r="R191" t="str">
        <f t="shared" si="33"/>
        <v>Tarifs conventionnels assurance maladie</v>
      </c>
      <c r="U191" t="str">
        <f>"950046490"</f>
        <v>950046490</v>
      </c>
    </row>
    <row r="192" spans="1:21" x14ac:dyDescent="0.3">
      <c r="A192" t="str">
        <f>"690052188"</f>
        <v>690052188</v>
      </c>
      <c r="B192" t="str">
        <f>"914 168 232 00025"</f>
        <v>914 168 232 00025</v>
      </c>
      <c r="D192" t="str">
        <f>"CENTRE DE SANTE LYON CONFLUENCE"</f>
        <v>CENTRE DE SANTE LYON CONFLUENCE</v>
      </c>
      <c r="F192" t="str">
        <f>"4 ALLEE JEANNE BARRET"</f>
        <v>4 ALLEE JEANNE BARRET</v>
      </c>
      <c r="H192" t="str">
        <f>"69002"</f>
        <v>69002</v>
      </c>
      <c r="I192" t="str">
        <f>"LYON"</f>
        <v>LYON</v>
      </c>
      <c r="L192" s="1">
        <v>44882</v>
      </c>
      <c r="M192" t="str">
        <f t="shared" si="24"/>
        <v>124</v>
      </c>
      <c r="N192" t="str">
        <f t="shared" si="25"/>
        <v>Centre de Santé</v>
      </c>
      <c r="O192" t="str">
        <f t="shared" si="34"/>
        <v>60</v>
      </c>
      <c r="P192" t="str">
        <f t="shared" si="35"/>
        <v>Association Loi 1901 non Reconnue d'Utilité Publique</v>
      </c>
      <c r="Q192" t="str">
        <f t="shared" si="32"/>
        <v>36</v>
      </c>
      <c r="R192" t="str">
        <f t="shared" si="33"/>
        <v>Tarifs conventionnels assurance maladie</v>
      </c>
      <c r="U192" t="str">
        <f>"690052170"</f>
        <v>690052170</v>
      </c>
    </row>
    <row r="193" spans="1:21" x14ac:dyDescent="0.3">
      <c r="A193" t="str">
        <f>"950047282"</f>
        <v>950047282</v>
      </c>
      <c r="B193" t="str">
        <f>"913 858 429 00016"</f>
        <v>913 858 429 00016</v>
      </c>
      <c r="D193" t="str">
        <f>"CDS DENTAIRE MON ORTHO ARG"</f>
        <v>CDS DENTAIRE MON ORTHO ARG</v>
      </c>
      <c r="F193" t="str">
        <f>"113 AVENUE DE STALINGRAD"</f>
        <v>113 AVENUE DE STALINGRAD</v>
      </c>
      <c r="H193" t="str">
        <f>"95100"</f>
        <v>95100</v>
      </c>
      <c r="I193" t="str">
        <f>"ARGENTEUIL"</f>
        <v>ARGENTEUIL</v>
      </c>
      <c r="J193" t="str">
        <f>"01 39 80 07 07 "</f>
        <v xml:space="preserve">01 39 80 07 07 </v>
      </c>
      <c r="L193" s="1">
        <v>44882</v>
      </c>
      <c r="M193" t="str">
        <f t="shared" si="24"/>
        <v>124</v>
      </c>
      <c r="N193" t="str">
        <f t="shared" si="25"/>
        <v>Centre de Santé</v>
      </c>
      <c r="O193" t="str">
        <f t="shared" si="34"/>
        <v>60</v>
      </c>
      <c r="P193" t="str">
        <f t="shared" si="35"/>
        <v>Association Loi 1901 non Reconnue d'Utilité Publique</v>
      </c>
      <c r="Q193" t="str">
        <f t="shared" si="32"/>
        <v>36</v>
      </c>
      <c r="R193" t="str">
        <f t="shared" si="33"/>
        <v>Tarifs conventionnels assurance maladie</v>
      </c>
      <c r="U193" t="str">
        <f>"950047274"</f>
        <v>950047274</v>
      </c>
    </row>
    <row r="194" spans="1:21" x14ac:dyDescent="0.3">
      <c r="A194" t="str">
        <f>"650006950"</f>
        <v>650006950</v>
      </c>
      <c r="B194" t="str">
        <f>"130 030 158 00088"</f>
        <v>130 030 158 00088</v>
      </c>
      <c r="D194" t="str">
        <f>"CENTRE DE SANTÉ BORDÈRES SUR L'ECHEZ"</f>
        <v>CENTRE DE SANTÉ BORDÈRES SUR L'ECHEZ</v>
      </c>
      <c r="F194" t="str">
        <f>"1 RUE JEAN JAURES"</f>
        <v>1 RUE JEAN JAURES</v>
      </c>
      <c r="H194" t="str">
        <f>"65320"</f>
        <v>65320</v>
      </c>
      <c r="I194" t="str">
        <f>"BORDERES SUR L ECHEZ"</f>
        <v>BORDERES SUR L ECHEZ</v>
      </c>
      <c r="L194" s="1">
        <v>44881</v>
      </c>
      <c r="M194" t="str">
        <f t="shared" ref="M194:M257" si="36">"124"</f>
        <v>124</v>
      </c>
      <c r="N194" t="str">
        <f t="shared" ref="N194:N257" si="37">"Centre de Santé"</f>
        <v>Centre de Santé</v>
      </c>
      <c r="O194" t="str">
        <f>"04"</f>
        <v>04</v>
      </c>
      <c r="P194" t="str">
        <f>"Région"</f>
        <v>Région</v>
      </c>
      <c r="Q194" t="str">
        <f t="shared" si="32"/>
        <v>36</v>
      </c>
      <c r="R194" t="str">
        <f t="shared" si="33"/>
        <v>Tarifs conventionnels assurance maladie</v>
      </c>
      <c r="U194" t="str">
        <f>"310034392"</f>
        <v>310034392</v>
      </c>
    </row>
    <row r="195" spans="1:21" x14ac:dyDescent="0.3">
      <c r="A195" t="str">
        <f>"340029974"</f>
        <v>340029974</v>
      </c>
      <c r="B195" t="str">
        <f>"908 812 308 00017"</f>
        <v>908 812 308 00017</v>
      </c>
      <c r="D195" t="str">
        <f>"KLARITY MONTPELLIER"</f>
        <v>KLARITY MONTPELLIER</v>
      </c>
      <c r="F195" t="str">
        <f>"41 BOULEVARD DU JEU DE PAUME"</f>
        <v>41 BOULEVARD DU JEU DE PAUME</v>
      </c>
      <c r="H195" t="str">
        <f>"34000"</f>
        <v>34000</v>
      </c>
      <c r="I195" t="str">
        <f>"MONTPELLIER"</f>
        <v>MONTPELLIER</v>
      </c>
      <c r="J195" t="str">
        <f>"09 70 68 77 70 "</f>
        <v xml:space="preserve">09 70 68 77 70 </v>
      </c>
      <c r="K195" t="str">
        <f>"09 70 68 77 77"</f>
        <v>09 70 68 77 77</v>
      </c>
      <c r="L195" s="1">
        <v>44879</v>
      </c>
      <c r="M195" t="str">
        <f t="shared" si="36"/>
        <v>124</v>
      </c>
      <c r="N195" t="str">
        <f t="shared" si="37"/>
        <v>Centre de Santé</v>
      </c>
      <c r="O195" t="str">
        <f>"60"</f>
        <v>60</v>
      </c>
      <c r="P195" t="str">
        <f>"Association Loi 1901 non Reconnue d'Utilité Publique"</f>
        <v>Association Loi 1901 non Reconnue d'Utilité Publique</v>
      </c>
      <c r="Q195" t="str">
        <f t="shared" si="32"/>
        <v>36</v>
      </c>
      <c r="R195" t="str">
        <f t="shared" si="33"/>
        <v>Tarifs conventionnels assurance maladie</v>
      </c>
      <c r="U195" t="str">
        <f>"340029966"</f>
        <v>340029966</v>
      </c>
    </row>
    <row r="196" spans="1:21" x14ac:dyDescent="0.3">
      <c r="A196" t="str">
        <f>"560030934"</f>
        <v>560030934</v>
      </c>
      <c r="B196" t="str">
        <f>"905 298 287 00012"</f>
        <v>905 298 287 00012</v>
      </c>
      <c r="D196" t="str">
        <f>"CDS DE L'HERMINE"</f>
        <v>CDS DE L'HERMINE</v>
      </c>
      <c r="F196" t="str">
        <f>"6 BOULEVARD DE LA PAIX"</f>
        <v>6 BOULEVARD DE LA PAIX</v>
      </c>
      <c r="H196" t="str">
        <f>"56000"</f>
        <v>56000</v>
      </c>
      <c r="I196" t="str">
        <f>"VANNES"</f>
        <v>VANNES</v>
      </c>
      <c r="J196" t="str">
        <f>"06 49 38 35 31 "</f>
        <v xml:space="preserve">06 49 38 35 31 </v>
      </c>
      <c r="L196" s="1">
        <v>44879</v>
      </c>
      <c r="M196" t="str">
        <f t="shared" si="36"/>
        <v>124</v>
      </c>
      <c r="N196" t="str">
        <f t="shared" si="37"/>
        <v>Centre de Santé</v>
      </c>
      <c r="O196" t="str">
        <f>"60"</f>
        <v>60</v>
      </c>
      <c r="P196" t="str">
        <f>"Association Loi 1901 non Reconnue d'Utilité Publique"</f>
        <v>Association Loi 1901 non Reconnue d'Utilité Publique</v>
      </c>
      <c r="Q196" t="str">
        <f t="shared" ref="Q196:Q222" si="38">"36"</f>
        <v>36</v>
      </c>
      <c r="R196" t="str">
        <f t="shared" ref="R196:R222" si="39">"Tarifs conventionnels assurance maladie"</f>
        <v>Tarifs conventionnels assurance maladie</v>
      </c>
      <c r="U196" t="str">
        <f>"560030926"</f>
        <v>560030926</v>
      </c>
    </row>
    <row r="197" spans="1:21" x14ac:dyDescent="0.3">
      <c r="A197" t="str">
        <f>"180010514"</f>
        <v>180010514</v>
      </c>
      <c r="D197" t="str">
        <f>"CENTRE DE SANTE NERONDE"</f>
        <v>CENTRE DE SANTE NERONDE</v>
      </c>
      <c r="F197" t="str">
        <f>"30 RUE SAINT PIERRE"</f>
        <v>30 RUE SAINT PIERRE</v>
      </c>
      <c r="H197" t="str">
        <f>"18350"</f>
        <v>18350</v>
      </c>
      <c r="I197" t="str">
        <f>"NERONDES"</f>
        <v>NERONDES</v>
      </c>
      <c r="L197" s="1">
        <v>44872</v>
      </c>
      <c r="M197" t="str">
        <f t="shared" si="36"/>
        <v>124</v>
      </c>
      <c r="N197" t="str">
        <f t="shared" si="37"/>
        <v>Centre de Santé</v>
      </c>
      <c r="O197" t="str">
        <f>"28"</f>
        <v>28</v>
      </c>
      <c r="P197" t="str">
        <f>"Groupement d'Intérêt Public (G.I.P.)"</f>
        <v>Groupement d'Intérêt Public (G.I.P.)</v>
      </c>
      <c r="Q197" t="str">
        <f t="shared" si="38"/>
        <v>36</v>
      </c>
      <c r="R197" t="str">
        <f t="shared" si="39"/>
        <v>Tarifs conventionnels assurance maladie</v>
      </c>
      <c r="U197" t="str">
        <f>"450022801"</f>
        <v>450022801</v>
      </c>
    </row>
    <row r="198" spans="1:21" x14ac:dyDescent="0.3">
      <c r="A198" t="str">
        <f>"630015618"</f>
        <v>630015618</v>
      </c>
      <c r="B198" t="str">
        <f>"904 476 157 00022"</f>
        <v>904 476 157 00022</v>
      </c>
      <c r="D198" t="str">
        <f>"CENTRE DE SANTE ACCES VISION CLERMONT"</f>
        <v>CENTRE DE SANTE ACCES VISION CLERMONT</v>
      </c>
      <c r="F198" t="str">
        <f>"22 RUE BLATIN"</f>
        <v>22 RUE BLATIN</v>
      </c>
      <c r="H198" t="str">
        <f>"63000"</f>
        <v>63000</v>
      </c>
      <c r="I198" t="str">
        <f>"CLERMONT FERRAND"</f>
        <v>CLERMONT FERRAND</v>
      </c>
      <c r="J198" t="str">
        <f>"04 86 11 03 03 "</f>
        <v xml:space="preserve">04 86 11 03 03 </v>
      </c>
      <c r="L198" s="1">
        <v>44872</v>
      </c>
      <c r="M198" t="str">
        <f t="shared" si="36"/>
        <v>124</v>
      </c>
      <c r="N198" t="str">
        <f t="shared" si="37"/>
        <v>Centre de Santé</v>
      </c>
      <c r="O198" t="str">
        <f t="shared" ref="O198:O203" si="40">"60"</f>
        <v>60</v>
      </c>
      <c r="P198" t="str">
        <f t="shared" ref="P198:P203" si="41">"Association Loi 1901 non Reconnue d'Utilité Publique"</f>
        <v>Association Loi 1901 non Reconnue d'Utilité Publique</v>
      </c>
      <c r="Q198" t="str">
        <f t="shared" si="38"/>
        <v>36</v>
      </c>
      <c r="R198" t="str">
        <f t="shared" si="39"/>
        <v>Tarifs conventionnels assurance maladie</v>
      </c>
      <c r="U198" t="str">
        <f>"630015873"</f>
        <v>630015873</v>
      </c>
    </row>
    <row r="199" spans="1:21" x14ac:dyDescent="0.3">
      <c r="A199" t="str">
        <f>"640021663"</f>
        <v>640021663</v>
      </c>
      <c r="B199" t="str">
        <f>"901 269 019 00013"</f>
        <v>901 269 019 00013</v>
      </c>
      <c r="D199" t="str">
        <f>"CDS DENTAIRE VERTUO PAU LESCAR"</f>
        <v>CDS DENTAIRE VERTUO PAU LESCAR</v>
      </c>
      <c r="E199" t="str">
        <f>"CC CARREFOUR"</f>
        <v>CC CARREFOUR</v>
      </c>
      <c r="F199" t="str">
        <f>"8 RUE JEAN JAURES"</f>
        <v>8 RUE JEAN JAURES</v>
      </c>
      <c r="H199" t="str">
        <f>"64230"</f>
        <v>64230</v>
      </c>
      <c r="I199" t="str">
        <f>"LESCAR"</f>
        <v>LESCAR</v>
      </c>
      <c r="J199" t="str">
        <f>"06 79 84 20 31 "</f>
        <v xml:space="preserve">06 79 84 20 31 </v>
      </c>
      <c r="L199" s="1">
        <v>44872</v>
      </c>
      <c r="M199" t="str">
        <f t="shared" si="36"/>
        <v>124</v>
      </c>
      <c r="N199" t="str">
        <f t="shared" si="37"/>
        <v>Centre de Santé</v>
      </c>
      <c r="O199" t="str">
        <f t="shared" si="40"/>
        <v>60</v>
      </c>
      <c r="P199" t="str">
        <f t="shared" si="41"/>
        <v>Association Loi 1901 non Reconnue d'Utilité Publique</v>
      </c>
      <c r="Q199" t="str">
        <f t="shared" si="38"/>
        <v>36</v>
      </c>
      <c r="R199" t="str">
        <f t="shared" si="39"/>
        <v>Tarifs conventionnels assurance maladie</v>
      </c>
      <c r="U199" t="str">
        <f>"640021655"</f>
        <v>640021655</v>
      </c>
    </row>
    <row r="200" spans="1:21" x14ac:dyDescent="0.3">
      <c r="A200" t="str">
        <f>"690051131"</f>
        <v>690051131</v>
      </c>
      <c r="B200" t="str">
        <f>"903 670 651 00012"</f>
        <v>903 670 651 00012</v>
      </c>
      <c r="D200" t="str">
        <f>"CENTRE DE SANTE DENTAIRE VERTUO"</f>
        <v>CENTRE DE SANTE DENTAIRE VERTUO</v>
      </c>
      <c r="E200" t="str">
        <f>"CC LES SEPT CHEMINS"</f>
        <v>CC LES SEPT CHEMINS</v>
      </c>
      <c r="F200" t="str">
        <f>"236 AVENUE FRANKLIN ROOSEVELT"</f>
        <v>236 AVENUE FRANKLIN ROOSEVELT</v>
      </c>
      <c r="H200" t="str">
        <f>"69120"</f>
        <v>69120</v>
      </c>
      <c r="I200" t="str">
        <f>"VAULX EN VELIN"</f>
        <v>VAULX EN VELIN</v>
      </c>
      <c r="L200" s="1">
        <v>44872</v>
      </c>
      <c r="M200" t="str">
        <f t="shared" si="36"/>
        <v>124</v>
      </c>
      <c r="N200" t="str">
        <f t="shared" si="37"/>
        <v>Centre de Santé</v>
      </c>
      <c r="O200" t="str">
        <f t="shared" si="40"/>
        <v>60</v>
      </c>
      <c r="P200" t="str">
        <f t="shared" si="41"/>
        <v>Association Loi 1901 non Reconnue d'Utilité Publique</v>
      </c>
      <c r="Q200" t="str">
        <f t="shared" si="38"/>
        <v>36</v>
      </c>
      <c r="R200" t="str">
        <f t="shared" si="39"/>
        <v>Tarifs conventionnels assurance maladie</v>
      </c>
      <c r="U200" t="str">
        <f>"690051123"</f>
        <v>690051123</v>
      </c>
    </row>
    <row r="201" spans="1:21" x14ac:dyDescent="0.3">
      <c r="A201" t="str">
        <f>"910024884"</f>
        <v>910024884</v>
      </c>
      <c r="B201" t="str">
        <f>"853 519 213 00013"</f>
        <v>853 519 213 00013</v>
      </c>
      <c r="D201" t="str">
        <f>"CDS DENTAIRE CORBEIL"</f>
        <v>CDS DENTAIRE CORBEIL</v>
      </c>
      <c r="F201" t="str">
        <f>"14 PLACE DES VICTOIRES"</f>
        <v>14 PLACE DES VICTOIRES</v>
      </c>
      <c r="H201" t="str">
        <f>"91100"</f>
        <v>91100</v>
      </c>
      <c r="I201" t="str">
        <f>"CORBEIL ESSONNES"</f>
        <v>CORBEIL ESSONNES</v>
      </c>
      <c r="J201" t="str">
        <f>"06 24 23 57 79 "</f>
        <v xml:space="preserve">06 24 23 57 79 </v>
      </c>
      <c r="L201" s="1">
        <v>44872</v>
      </c>
      <c r="M201" t="str">
        <f t="shared" si="36"/>
        <v>124</v>
      </c>
      <c r="N201" t="str">
        <f t="shared" si="37"/>
        <v>Centre de Santé</v>
      </c>
      <c r="O201" t="str">
        <f t="shared" si="40"/>
        <v>60</v>
      </c>
      <c r="P201" t="str">
        <f t="shared" si="41"/>
        <v>Association Loi 1901 non Reconnue d'Utilité Publique</v>
      </c>
      <c r="Q201" t="str">
        <f t="shared" si="38"/>
        <v>36</v>
      </c>
      <c r="R201" t="str">
        <f t="shared" si="39"/>
        <v>Tarifs conventionnels assurance maladie</v>
      </c>
      <c r="U201" t="str">
        <f>"750065534"</f>
        <v>750065534</v>
      </c>
    </row>
    <row r="202" spans="1:21" x14ac:dyDescent="0.3">
      <c r="A202" t="str">
        <f>"920038262"</f>
        <v>920038262</v>
      </c>
      <c r="B202" t="str">
        <f>"907 904 064 00017"</f>
        <v>907 904 064 00017</v>
      </c>
      <c r="D202" t="str">
        <f>"CDS DENTAIRE DES BLAGIS"</f>
        <v>CDS DENTAIRE DES BLAGIS</v>
      </c>
      <c r="F202" t="str">
        <f>"14 RUE DU DR ROUX"</f>
        <v>14 RUE DU DR ROUX</v>
      </c>
      <c r="H202" t="str">
        <f>"92330"</f>
        <v>92330</v>
      </c>
      <c r="I202" t="str">
        <f>"SCEAUX"</f>
        <v>SCEAUX</v>
      </c>
      <c r="J202" t="str">
        <f>"01 46 60 72 74 "</f>
        <v xml:space="preserve">01 46 60 72 74 </v>
      </c>
      <c r="L202" s="1">
        <v>44872</v>
      </c>
      <c r="M202" t="str">
        <f t="shared" si="36"/>
        <v>124</v>
      </c>
      <c r="N202" t="str">
        <f t="shared" si="37"/>
        <v>Centre de Santé</v>
      </c>
      <c r="O202" t="str">
        <f t="shared" si="40"/>
        <v>60</v>
      </c>
      <c r="P202" t="str">
        <f t="shared" si="41"/>
        <v>Association Loi 1901 non Reconnue d'Utilité Publique</v>
      </c>
      <c r="Q202" t="str">
        <f t="shared" si="38"/>
        <v>36</v>
      </c>
      <c r="R202" t="str">
        <f t="shared" si="39"/>
        <v>Tarifs conventionnels assurance maladie</v>
      </c>
      <c r="U202" t="str">
        <f>"920038254"</f>
        <v>920038254</v>
      </c>
    </row>
    <row r="203" spans="1:21" x14ac:dyDescent="0.3">
      <c r="A203" t="str">
        <f>"060031325"</f>
        <v>060031325</v>
      </c>
      <c r="B203" t="str">
        <f>"900 604 653 00015"</f>
        <v>900 604 653 00015</v>
      </c>
      <c r="D203" t="str">
        <f>"CDS ASSOCIATION CANNES MEDICO-DENTAIRE"</f>
        <v>CDS ASSOCIATION CANNES MEDICO-DENTAIRE</v>
      </c>
      <c r="F203" t="str">
        <f>"13 RUE DES SERBES"</f>
        <v>13 RUE DES SERBES</v>
      </c>
      <c r="H203" t="str">
        <f>"06400"</f>
        <v>06400</v>
      </c>
      <c r="I203" t="str">
        <f>"CANNES"</f>
        <v>CANNES</v>
      </c>
      <c r="J203" t="str">
        <f>"04 23 32 00 75 "</f>
        <v xml:space="preserve">04 23 32 00 75 </v>
      </c>
      <c r="L203" s="1">
        <v>44868</v>
      </c>
      <c r="M203" t="str">
        <f t="shared" si="36"/>
        <v>124</v>
      </c>
      <c r="N203" t="str">
        <f t="shared" si="37"/>
        <v>Centre de Santé</v>
      </c>
      <c r="O203" t="str">
        <f t="shared" si="40"/>
        <v>60</v>
      </c>
      <c r="P203" t="str">
        <f t="shared" si="41"/>
        <v>Association Loi 1901 non Reconnue d'Utilité Publique</v>
      </c>
      <c r="Q203" t="str">
        <f t="shared" si="38"/>
        <v>36</v>
      </c>
      <c r="R203" t="str">
        <f t="shared" si="39"/>
        <v>Tarifs conventionnels assurance maladie</v>
      </c>
      <c r="U203" t="str">
        <f>"060031317"</f>
        <v>060031317</v>
      </c>
    </row>
    <row r="204" spans="1:21" x14ac:dyDescent="0.3">
      <c r="A204" t="str">
        <f>"160017612"</f>
        <v>160017612</v>
      </c>
      <c r="B204" t="str">
        <f>"221 600 018 00925"</f>
        <v>221 600 018 00925</v>
      </c>
      <c r="D204" t="str">
        <f>"CDS DENTAIRE DE COGNAC"</f>
        <v>CDS DENTAIRE DE COGNAC</v>
      </c>
      <c r="F204" t="str">
        <f>"11 RUE FICHON"</f>
        <v>11 RUE FICHON</v>
      </c>
      <c r="H204" t="str">
        <f>"16100"</f>
        <v>16100</v>
      </c>
      <c r="I204" t="str">
        <f>"COGNAC"</f>
        <v>COGNAC</v>
      </c>
      <c r="J204" t="str">
        <f>"05 45 32 09 85 "</f>
        <v xml:space="preserve">05 45 32 09 85 </v>
      </c>
      <c r="L204" s="1">
        <v>44867</v>
      </c>
      <c r="M204" t="str">
        <f t="shared" si="36"/>
        <v>124</v>
      </c>
      <c r="N204" t="str">
        <f t="shared" si="37"/>
        <v>Centre de Santé</v>
      </c>
      <c r="O204" t="str">
        <f>"02"</f>
        <v>02</v>
      </c>
      <c r="P204" t="str">
        <f>"Département"</f>
        <v>Département</v>
      </c>
      <c r="Q204" t="str">
        <f t="shared" si="38"/>
        <v>36</v>
      </c>
      <c r="R204" t="str">
        <f t="shared" si="39"/>
        <v>Tarifs conventionnels assurance maladie</v>
      </c>
      <c r="U204" t="str">
        <f>"160007373"</f>
        <v>160007373</v>
      </c>
    </row>
    <row r="205" spans="1:21" x14ac:dyDescent="0.3">
      <c r="A205" t="str">
        <f>"330064809"</f>
        <v>330064809</v>
      </c>
      <c r="B205" t="str">
        <f>"915 185 326 00021"</f>
        <v>915 185 326 00021</v>
      </c>
      <c r="D205" t="str">
        <f>"CDS GIRONDE"</f>
        <v>CDS GIRONDE</v>
      </c>
      <c r="F205" t="str">
        <f>"282 AVENUE DE TIVOLI"</f>
        <v>282 AVENUE DE TIVOLI</v>
      </c>
      <c r="H205" t="str">
        <f>"33110"</f>
        <v>33110</v>
      </c>
      <c r="I205" t="str">
        <f>"LE BOUSCAT"</f>
        <v>LE BOUSCAT</v>
      </c>
      <c r="J205" t="str">
        <f>"05 56 24 63 64 "</f>
        <v xml:space="preserve">05 56 24 63 64 </v>
      </c>
      <c r="L205" s="1">
        <v>44867</v>
      </c>
      <c r="M205" t="str">
        <f t="shared" si="36"/>
        <v>124</v>
      </c>
      <c r="N205" t="str">
        <f t="shared" si="37"/>
        <v>Centre de Santé</v>
      </c>
      <c r="O205" t="str">
        <f>"60"</f>
        <v>60</v>
      </c>
      <c r="P205" t="str">
        <f>"Association Loi 1901 non Reconnue d'Utilité Publique"</f>
        <v>Association Loi 1901 non Reconnue d'Utilité Publique</v>
      </c>
      <c r="Q205" t="str">
        <f t="shared" si="38"/>
        <v>36</v>
      </c>
      <c r="R205" t="str">
        <f t="shared" si="39"/>
        <v>Tarifs conventionnels assurance maladie</v>
      </c>
      <c r="U205" t="str">
        <f>"270030430"</f>
        <v>270030430</v>
      </c>
    </row>
    <row r="206" spans="1:21" x14ac:dyDescent="0.3">
      <c r="A206" t="str">
        <f>"810013268"</f>
        <v>810013268</v>
      </c>
      <c r="B206" t="str">
        <f>"130 030 158 00070"</f>
        <v>130 030 158 00070</v>
      </c>
      <c r="D206" t="str">
        <f>"CENTRE DE SANTE DE MA REGION - MAZAMET"</f>
        <v>CENTRE DE SANTE DE MA REGION - MAZAMET</v>
      </c>
      <c r="F206" t="str">
        <f>"42 BOULEVARD SOULT"</f>
        <v>42 BOULEVARD SOULT</v>
      </c>
      <c r="H206" t="str">
        <f>"81200"</f>
        <v>81200</v>
      </c>
      <c r="I206" t="str">
        <f>"MAZAMET"</f>
        <v>MAZAMET</v>
      </c>
      <c r="L206" s="1">
        <v>44867</v>
      </c>
      <c r="M206" t="str">
        <f t="shared" si="36"/>
        <v>124</v>
      </c>
      <c r="N206" t="str">
        <f t="shared" si="37"/>
        <v>Centre de Santé</v>
      </c>
      <c r="O206" t="str">
        <f>"04"</f>
        <v>04</v>
      </c>
      <c r="P206" t="str">
        <f>"Région"</f>
        <v>Région</v>
      </c>
      <c r="Q206" t="str">
        <f t="shared" si="38"/>
        <v>36</v>
      </c>
      <c r="R206" t="str">
        <f t="shared" si="39"/>
        <v>Tarifs conventionnels assurance maladie</v>
      </c>
      <c r="U206" t="str">
        <f>"310034392"</f>
        <v>310034392</v>
      </c>
    </row>
    <row r="207" spans="1:21" x14ac:dyDescent="0.3">
      <c r="A207" t="str">
        <f>"370015802"</f>
        <v>370015802</v>
      </c>
      <c r="B207" t="str">
        <f>"904 846 193 00012"</f>
        <v>904 846 193 00012</v>
      </c>
      <c r="D207" t="str">
        <f>"CLINIDENT JOUÉ-LÈS-TOURS"</f>
        <v>CLINIDENT JOUÉ-LÈS-TOURS</v>
      </c>
      <c r="F207" t="str">
        <f>"14 RUE ARISTIDE BRIAND"</f>
        <v>14 RUE ARISTIDE BRIAND</v>
      </c>
      <c r="H207" t="str">
        <f>"37300"</f>
        <v>37300</v>
      </c>
      <c r="I207" t="str">
        <f>"JOUE LES TOURS"</f>
        <v>JOUE LES TOURS</v>
      </c>
      <c r="L207" s="1">
        <v>44866</v>
      </c>
      <c r="M207" t="str">
        <f t="shared" si="36"/>
        <v>124</v>
      </c>
      <c r="N207" t="str">
        <f t="shared" si="37"/>
        <v>Centre de Santé</v>
      </c>
      <c r="O207" t="str">
        <f t="shared" ref="O207:O212" si="42">"60"</f>
        <v>60</v>
      </c>
      <c r="P207" t="str">
        <f t="shared" ref="P207:P212" si="43">"Association Loi 1901 non Reconnue d'Utilité Publique"</f>
        <v>Association Loi 1901 non Reconnue d'Utilité Publique</v>
      </c>
      <c r="Q207" t="str">
        <f t="shared" si="38"/>
        <v>36</v>
      </c>
      <c r="R207" t="str">
        <f t="shared" si="39"/>
        <v>Tarifs conventionnels assurance maladie</v>
      </c>
      <c r="U207" t="str">
        <f>"370015794"</f>
        <v>370015794</v>
      </c>
    </row>
    <row r="208" spans="1:21" x14ac:dyDescent="0.3">
      <c r="A208" t="str">
        <f>"980501555"</f>
        <v>980501555</v>
      </c>
      <c r="B208" t="str">
        <f>"847 609 831 00015"</f>
        <v>847 609 831 00015</v>
      </c>
      <c r="D208" t="str">
        <f>"CENTRE DE SANTE DENTAIRE UNONODZINO"</f>
        <v>CENTRE DE SANTE DENTAIRE UNONODZINO</v>
      </c>
      <c r="F208" t="str">
        <f>"ROUTE DE MRAMADOUDOU"</f>
        <v>ROUTE DE MRAMADOUDOU</v>
      </c>
      <c r="H208" t="str">
        <f>"97620"</f>
        <v>97620</v>
      </c>
      <c r="I208" t="str">
        <f>"CHIRONGUI"</f>
        <v>CHIRONGUI</v>
      </c>
      <c r="L208" s="1">
        <v>44866</v>
      </c>
      <c r="M208" t="str">
        <f t="shared" si="36"/>
        <v>124</v>
      </c>
      <c r="N208" t="str">
        <f t="shared" si="37"/>
        <v>Centre de Santé</v>
      </c>
      <c r="O208" t="str">
        <f t="shared" si="42"/>
        <v>60</v>
      </c>
      <c r="P208" t="str">
        <f t="shared" si="43"/>
        <v>Association Loi 1901 non Reconnue d'Utilité Publique</v>
      </c>
      <c r="Q208" t="str">
        <f t="shared" si="38"/>
        <v>36</v>
      </c>
      <c r="R208" t="str">
        <f t="shared" si="39"/>
        <v>Tarifs conventionnels assurance maladie</v>
      </c>
      <c r="U208" t="str">
        <f>"980501548"</f>
        <v>980501548</v>
      </c>
    </row>
    <row r="209" spans="1:21" x14ac:dyDescent="0.3">
      <c r="A209" t="str">
        <f>"230005134"</f>
        <v>230005134</v>
      </c>
      <c r="B209" t="str">
        <f>"918 708 942 00019"</f>
        <v>918 708 942 00019</v>
      </c>
      <c r="D209" t="str">
        <f>"CDS MEDECINS SOLIDAIRES"</f>
        <v>CDS MEDECINS SOLIDAIRES</v>
      </c>
      <c r="F209" t="str">
        <f>"ROUTE DE PIONNAT"</f>
        <v>ROUTE DE PIONNAT</v>
      </c>
      <c r="H209" t="str">
        <f>"23380"</f>
        <v>23380</v>
      </c>
      <c r="I209" t="str">
        <f>"AJAIN"</f>
        <v>AJAIN</v>
      </c>
      <c r="J209" t="str">
        <f>"05 44 30 73 70 "</f>
        <v xml:space="preserve">05 44 30 73 70 </v>
      </c>
      <c r="L209" s="1">
        <v>44865</v>
      </c>
      <c r="M209" t="str">
        <f t="shared" si="36"/>
        <v>124</v>
      </c>
      <c r="N209" t="str">
        <f t="shared" si="37"/>
        <v>Centre de Santé</v>
      </c>
      <c r="O209" t="str">
        <f t="shared" si="42"/>
        <v>60</v>
      </c>
      <c r="P209" t="str">
        <f t="shared" si="43"/>
        <v>Association Loi 1901 non Reconnue d'Utilité Publique</v>
      </c>
      <c r="Q209" t="str">
        <f t="shared" si="38"/>
        <v>36</v>
      </c>
      <c r="R209" t="str">
        <f t="shared" si="39"/>
        <v>Tarifs conventionnels assurance maladie</v>
      </c>
      <c r="U209" t="str">
        <f>"870019205"</f>
        <v>870019205</v>
      </c>
    </row>
    <row r="210" spans="1:21" x14ac:dyDescent="0.3">
      <c r="A210" t="str">
        <f>"380026146"</f>
        <v>380026146</v>
      </c>
      <c r="B210" t="str">
        <f>"909 444 366 00019"</f>
        <v>909 444 366 00019</v>
      </c>
      <c r="D210" t="str">
        <f>"CENTRE DE SANTE VISIONNAIRE"</f>
        <v>CENTRE DE SANTE VISIONNAIRE</v>
      </c>
      <c r="F210" t="str">
        <f>"75 AVENUE GABRIEL PERI"</f>
        <v>75 AVENUE GABRIEL PERI</v>
      </c>
      <c r="H210" t="str">
        <f>"38400"</f>
        <v>38400</v>
      </c>
      <c r="I210" t="str">
        <f>"ST MARTIN D HERES"</f>
        <v>ST MARTIN D HERES</v>
      </c>
      <c r="L210" s="1">
        <v>44865</v>
      </c>
      <c r="M210" t="str">
        <f t="shared" si="36"/>
        <v>124</v>
      </c>
      <c r="N210" t="str">
        <f t="shared" si="37"/>
        <v>Centre de Santé</v>
      </c>
      <c r="O210" t="str">
        <f t="shared" si="42"/>
        <v>60</v>
      </c>
      <c r="P210" t="str">
        <f t="shared" si="43"/>
        <v>Association Loi 1901 non Reconnue d'Utilité Publique</v>
      </c>
      <c r="Q210" t="str">
        <f t="shared" si="38"/>
        <v>36</v>
      </c>
      <c r="R210" t="str">
        <f t="shared" si="39"/>
        <v>Tarifs conventionnels assurance maladie</v>
      </c>
      <c r="U210" t="str">
        <f>"750069643"</f>
        <v>750069643</v>
      </c>
    </row>
    <row r="211" spans="1:21" x14ac:dyDescent="0.3">
      <c r="A211" t="str">
        <f>"690051826"</f>
        <v>690051826</v>
      </c>
      <c r="B211" t="str">
        <f>"912 924 057 00017"</f>
        <v>912 924 057 00017</v>
      </c>
      <c r="D211" t="str">
        <f>"CENTRE DE SANTE COMMUNAUTAIRE PLANETAI"</f>
        <v>CENTRE DE SANTE COMMUNAUTAIRE PLANETAI</v>
      </c>
      <c r="F211" t="str">
        <f>"4 RUE EDGAR QUINET"</f>
        <v>4 RUE EDGAR QUINET</v>
      </c>
      <c r="H211" t="str">
        <f>"69500"</f>
        <v>69500</v>
      </c>
      <c r="I211" t="str">
        <f>"BRON"</f>
        <v>BRON</v>
      </c>
      <c r="L211" s="1">
        <v>44865</v>
      </c>
      <c r="M211" t="str">
        <f t="shared" si="36"/>
        <v>124</v>
      </c>
      <c r="N211" t="str">
        <f t="shared" si="37"/>
        <v>Centre de Santé</v>
      </c>
      <c r="O211" t="str">
        <f t="shared" si="42"/>
        <v>60</v>
      </c>
      <c r="P211" t="str">
        <f t="shared" si="43"/>
        <v>Association Loi 1901 non Reconnue d'Utilité Publique</v>
      </c>
      <c r="Q211" t="str">
        <f t="shared" si="38"/>
        <v>36</v>
      </c>
      <c r="R211" t="str">
        <f t="shared" si="39"/>
        <v>Tarifs conventionnels assurance maladie</v>
      </c>
      <c r="U211" t="str">
        <f>"690051818"</f>
        <v>690051818</v>
      </c>
    </row>
    <row r="212" spans="1:21" x14ac:dyDescent="0.3">
      <c r="A212" t="str">
        <f>"680023173"</f>
        <v>680023173</v>
      </c>
      <c r="B212" t="str">
        <f>"908 353 246 00022"</f>
        <v>908 353 246 00022</v>
      </c>
      <c r="D212" t="str">
        <f>"CENTRE DE SANTE DENTAIRE DOLLFUS"</f>
        <v>CENTRE DE SANTE DENTAIRE DOLLFUS</v>
      </c>
      <c r="F212" t="str">
        <f>"23 AVENUE GUSTAVE DOLLFUS"</f>
        <v>23 AVENUE GUSTAVE DOLLFUS</v>
      </c>
      <c r="H212" t="str">
        <f>"68400"</f>
        <v>68400</v>
      </c>
      <c r="I212" t="str">
        <f>"RIEDISHEIM"</f>
        <v>RIEDISHEIM</v>
      </c>
      <c r="J212" t="str">
        <f>"03 67 26 04 26 "</f>
        <v xml:space="preserve">03 67 26 04 26 </v>
      </c>
      <c r="L212" s="1">
        <v>44862</v>
      </c>
      <c r="M212" t="str">
        <f t="shared" si="36"/>
        <v>124</v>
      </c>
      <c r="N212" t="str">
        <f t="shared" si="37"/>
        <v>Centre de Santé</v>
      </c>
      <c r="O212" t="str">
        <f t="shared" si="42"/>
        <v>60</v>
      </c>
      <c r="P212" t="str">
        <f t="shared" si="43"/>
        <v>Association Loi 1901 non Reconnue d'Utilité Publique</v>
      </c>
      <c r="Q212" t="str">
        <f t="shared" si="38"/>
        <v>36</v>
      </c>
      <c r="R212" t="str">
        <f t="shared" si="39"/>
        <v>Tarifs conventionnels assurance maladie</v>
      </c>
      <c r="U212" t="str">
        <f>"690051297"</f>
        <v>690051297</v>
      </c>
    </row>
    <row r="213" spans="1:21" x14ac:dyDescent="0.3">
      <c r="A213" t="str">
        <f>"240018309"</f>
        <v>240018309</v>
      </c>
      <c r="B213" t="str">
        <f>"222 400 012 00019"</f>
        <v>222 400 012 00019</v>
      </c>
      <c r="D213" t="str">
        <f>"CDS DE RIBERAC"</f>
        <v>CDS DE RIBERAC</v>
      </c>
      <c r="F213" t="str">
        <f>"28 AVENUE GUY DE LARIGAUDIE"</f>
        <v>28 AVENUE GUY DE LARIGAUDIE</v>
      </c>
      <c r="H213" t="str">
        <f>"24600"</f>
        <v>24600</v>
      </c>
      <c r="I213" t="str">
        <f>"RIBERAC"</f>
        <v>RIBERAC</v>
      </c>
      <c r="J213" t="str">
        <f>"05 53 02 27 04 "</f>
        <v xml:space="preserve">05 53 02 27 04 </v>
      </c>
      <c r="L213" s="1">
        <v>44861</v>
      </c>
      <c r="M213" t="str">
        <f t="shared" si="36"/>
        <v>124</v>
      </c>
      <c r="N213" t="str">
        <f t="shared" si="37"/>
        <v>Centre de Santé</v>
      </c>
      <c r="O213" t="str">
        <f>"02"</f>
        <v>02</v>
      </c>
      <c r="P213" t="str">
        <f>"Département"</f>
        <v>Département</v>
      </c>
      <c r="Q213" t="str">
        <f t="shared" si="38"/>
        <v>36</v>
      </c>
      <c r="R213" t="str">
        <f t="shared" si="39"/>
        <v>Tarifs conventionnels assurance maladie</v>
      </c>
      <c r="U213" t="str">
        <f>"240002006"</f>
        <v>240002006</v>
      </c>
    </row>
    <row r="214" spans="1:21" x14ac:dyDescent="0.3">
      <c r="A214" t="str">
        <f>"390008456"</f>
        <v>390008456</v>
      </c>
      <c r="B214" t="str">
        <f>"920 995 206 00017"</f>
        <v>920 995 206 00017</v>
      </c>
      <c r="D214" t="str">
        <f>"CENTRE DENTAIRE DES ARENES"</f>
        <v>CENTRE DENTAIRE DES ARENES</v>
      </c>
      <c r="F214" t="str">
        <f>"76 RUE DES ARENES"</f>
        <v>76 RUE DES ARENES</v>
      </c>
      <c r="H214" t="str">
        <f>"39100"</f>
        <v>39100</v>
      </c>
      <c r="I214" t="str">
        <f>"DOLE"</f>
        <v>DOLE</v>
      </c>
      <c r="L214" s="1">
        <v>44859</v>
      </c>
      <c r="M214" t="str">
        <f t="shared" si="36"/>
        <v>124</v>
      </c>
      <c r="N214" t="str">
        <f t="shared" si="37"/>
        <v>Centre de Santé</v>
      </c>
      <c r="O214" t="str">
        <f>"60"</f>
        <v>60</v>
      </c>
      <c r="P214" t="str">
        <f>"Association Loi 1901 non Reconnue d'Utilité Publique"</f>
        <v>Association Loi 1901 non Reconnue d'Utilité Publique</v>
      </c>
      <c r="Q214" t="str">
        <f t="shared" si="38"/>
        <v>36</v>
      </c>
      <c r="R214" t="str">
        <f t="shared" si="39"/>
        <v>Tarifs conventionnels assurance maladie</v>
      </c>
      <c r="U214" t="str">
        <f>"940029994"</f>
        <v>940029994</v>
      </c>
    </row>
    <row r="215" spans="1:21" x14ac:dyDescent="0.3">
      <c r="A215" t="str">
        <f>"630015840"</f>
        <v>630015840</v>
      </c>
      <c r="B215" t="str">
        <f>"216 302 588 00019"</f>
        <v>216 302 588 00019</v>
      </c>
      <c r="D215" t="str">
        <f>"CENTRE DE SANTE MUNICIPAL D'OLLIERGUES"</f>
        <v>CENTRE DE SANTE MUNICIPAL D'OLLIERGUES</v>
      </c>
      <c r="F215" t="str">
        <f>"28 AVENUE MARECHAL LATTRE DE TASSIGNY"</f>
        <v>28 AVENUE MARECHAL LATTRE DE TASSIGNY</v>
      </c>
      <c r="H215" t="str">
        <f>"63880"</f>
        <v>63880</v>
      </c>
      <c r="I215" t="str">
        <f>"OLLIERGUES"</f>
        <v>OLLIERGUES</v>
      </c>
      <c r="J215" t="str">
        <f>"04 73 73 67 32 "</f>
        <v xml:space="preserve">04 73 73 67 32 </v>
      </c>
      <c r="L215" s="1">
        <v>44859</v>
      </c>
      <c r="M215" t="str">
        <f t="shared" si="36"/>
        <v>124</v>
      </c>
      <c r="N215" t="str">
        <f t="shared" si="37"/>
        <v>Centre de Santé</v>
      </c>
      <c r="O215" t="str">
        <f>"03"</f>
        <v>03</v>
      </c>
      <c r="P215" t="str">
        <f>"Commune"</f>
        <v>Commune</v>
      </c>
      <c r="Q215" t="str">
        <f t="shared" si="38"/>
        <v>36</v>
      </c>
      <c r="R215" t="str">
        <f t="shared" si="39"/>
        <v>Tarifs conventionnels assurance maladie</v>
      </c>
      <c r="U215" t="str">
        <f>"630015832"</f>
        <v>630015832</v>
      </c>
    </row>
    <row r="216" spans="1:21" x14ac:dyDescent="0.3">
      <c r="A216" t="str">
        <f>"010012300"</f>
        <v>010012300</v>
      </c>
      <c r="B216" t="str">
        <f>"971 502 596 00051"</f>
        <v>971 502 596 00051</v>
      </c>
      <c r="D216" t="str">
        <f>"CENTRE DE SANTE HPEL D'OYONNAX"</f>
        <v>CENTRE DE SANTE HPEL D'OYONNAX</v>
      </c>
      <c r="F216" t="str">
        <f>"18 RUE DE LATTRE DE TASSIGNY"</f>
        <v>18 RUE DE LATTRE DE TASSIGNY</v>
      </c>
      <c r="H216" t="str">
        <f>"01100"</f>
        <v>01100</v>
      </c>
      <c r="I216" t="str">
        <f>"OYONNAX"</f>
        <v>OYONNAX</v>
      </c>
      <c r="L216" s="1">
        <v>44858</v>
      </c>
      <c r="M216" t="str">
        <f t="shared" si="36"/>
        <v>124</v>
      </c>
      <c r="N216" t="str">
        <f t="shared" si="37"/>
        <v>Centre de Santé</v>
      </c>
      <c r="O216" t="str">
        <f>"95"</f>
        <v>95</v>
      </c>
      <c r="P216" t="str">
        <f>"Société par Actions Simplifiée (S.A.S.)"</f>
        <v>Société par Actions Simplifiée (S.A.S.)</v>
      </c>
      <c r="Q216" t="str">
        <f t="shared" si="38"/>
        <v>36</v>
      </c>
      <c r="R216" t="str">
        <f t="shared" si="39"/>
        <v>Tarifs conventionnels assurance maladie</v>
      </c>
      <c r="U216" t="str">
        <f>"690000377"</f>
        <v>690000377</v>
      </c>
    </row>
    <row r="217" spans="1:21" x14ac:dyDescent="0.3">
      <c r="A217" t="str">
        <f>"130053002"</f>
        <v>130053002</v>
      </c>
      <c r="B217" t="str">
        <f>"130 015 332 00013"</f>
        <v>130 015 332 00013</v>
      </c>
      <c r="D217" t="str">
        <f>"SSU SAINT CHARLES"</f>
        <v>SSU SAINT CHARLES</v>
      </c>
      <c r="F217" t="str">
        <f>"3 PLACE VICTOR HUGO"</f>
        <v>3 PLACE VICTOR HUGO</v>
      </c>
      <c r="H217" t="str">
        <f>"13003"</f>
        <v>13003</v>
      </c>
      <c r="I217" t="str">
        <f>"MARSEILLE"</f>
        <v>MARSEILLE</v>
      </c>
      <c r="L217" s="1">
        <v>44858</v>
      </c>
      <c r="M217" t="str">
        <f t="shared" si="36"/>
        <v>124</v>
      </c>
      <c r="N217" t="str">
        <f t="shared" si="37"/>
        <v>Centre de Santé</v>
      </c>
      <c r="O217" t="str">
        <f t="shared" ref="O217:O222" si="44">"60"</f>
        <v>60</v>
      </c>
      <c r="P217" t="str">
        <f t="shared" ref="P217:P222" si="45">"Association Loi 1901 non Reconnue d'Utilité Publique"</f>
        <v>Association Loi 1901 non Reconnue d'Utilité Publique</v>
      </c>
      <c r="Q217" t="str">
        <f t="shared" si="38"/>
        <v>36</v>
      </c>
      <c r="R217" t="str">
        <f t="shared" si="39"/>
        <v>Tarifs conventionnels assurance maladie</v>
      </c>
      <c r="U217" t="str">
        <f>"130052996"</f>
        <v>130052996</v>
      </c>
    </row>
    <row r="218" spans="1:21" x14ac:dyDescent="0.3">
      <c r="A218" t="str">
        <f>"260022652"</f>
        <v>260022652</v>
      </c>
      <c r="B218" t="str">
        <f>"912 985 918 00016"</f>
        <v>912 985 918 00016</v>
      </c>
      <c r="D218" t="str">
        <f>"CENTRE DE SANTE OPHTALMO DU VERCORS"</f>
        <v>CENTRE DE SANTE OPHTALMO DU VERCORS</v>
      </c>
      <c r="F218" t="str">
        <f>"130 AVENUE CHARLES DE GAULLE"</f>
        <v>130 AVENUE CHARLES DE GAULLE</v>
      </c>
      <c r="H218" t="str">
        <f>"26300"</f>
        <v>26300</v>
      </c>
      <c r="I218" t="str">
        <f>"CHATUZANGE LE GOUBET"</f>
        <v>CHATUZANGE LE GOUBET</v>
      </c>
      <c r="L218" s="1">
        <v>44858</v>
      </c>
      <c r="M218" t="str">
        <f t="shared" si="36"/>
        <v>124</v>
      </c>
      <c r="N218" t="str">
        <f t="shared" si="37"/>
        <v>Centre de Santé</v>
      </c>
      <c r="O218" t="str">
        <f t="shared" si="44"/>
        <v>60</v>
      </c>
      <c r="P218" t="str">
        <f t="shared" si="45"/>
        <v>Association Loi 1901 non Reconnue d'Utilité Publique</v>
      </c>
      <c r="Q218" t="str">
        <f t="shared" si="38"/>
        <v>36</v>
      </c>
      <c r="R218" t="str">
        <f t="shared" si="39"/>
        <v>Tarifs conventionnels assurance maladie</v>
      </c>
      <c r="U218" t="str">
        <f>"260022645"</f>
        <v>260022645</v>
      </c>
    </row>
    <row r="219" spans="1:21" x14ac:dyDescent="0.3">
      <c r="A219" t="str">
        <f>"470018458"</f>
        <v>470018458</v>
      </c>
      <c r="B219" t="str">
        <f>"882 045 305 00019"</f>
        <v>882 045 305 00019</v>
      </c>
      <c r="D219" t="str">
        <f>"CDS DU BASSIN MARMANDAIS"</f>
        <v>CDS DU BASSIN MARMANDAIS</v>
      </c>
      <c r="F219" t="str">
        <f>"25 AVENUE DU GENERAL DE GAULLE"</f>
        <v>25 AVENUE DU GENERAL DE GAULLE</v>
      </c>
      <c r="H219" t="str">
        <f>"47180"</f>
        <v>47180</v>
      </c>
      <c r="I219" t="str">
        <f>"STE BAZEILLE"</f>
        <v>STE BAZEILLE</v>
      </c>
      <c r="J219" t="str">
        <f>"05 53 68 27 07 "</f>
        <v xml:space="preserve">05 53 68 27 07 </v>
      </c>
      <c r="L219" s="1">
        <v>44858</v>
      </c>
      <c r="M219" t="str">
        <f t="shared" si="36"/>
        <v>124</v>
      </c>
      <c r="N219" t="str">
        <f t="shared" si="37"/>
        <v>Centre de Santé</v>
      </c>
      <c r="O219" t="str">
        <f t="shared" si="44"/>
        <v>60</v>
      </c>
      <c r="P219" t="str">
        <f t="shared" si="45"/>
        <v>Association Loi 1901 non Reconnue d'Utilité Publique</v>
      </c>
      <c r="Q219" t="str">
        <f t="shared" si="38"/>
        <v>36</v>
      </c>
      <c r="R219" t="str">
        <f t="shared" si="39"/>
        <v>Tarifs conventionnels assurance maladie</v>
      </c>
      <c r="U219" t="str">
        <f>"470018441"</f>
        <v>470018441</v>
      </c>
    </row>
    <row r="220" spans="1:21" x14ac:dyDescent="0.3">
      <c r="A220" t="str">
        <f>"940029689"</f>
        <v>940029689</v>
      </c>
      <c r="B220" t="str">
        <f>"913 911 632 00010"</f>
        <v>913 911 632 00010</v>
      </c>
      <c r="D220" t="str">
        <f>"CDS DE SOINS DENTAIRES AVENIR"</f>
        <v>CDS DE SOINS DENTAIRES AVENIR</v>
      </c>
      <c r="E220" t="str">
        <f>"6-8-8BIS"</f>
        <v>6-8-8BIS</v>
      </c>
      <c r="F220" t="str">
        <f>"6 ALLEE LEOPOLD SEDAR SENGHOR"</f>
        <v>6 ALLEE LEOPOLD SEDAR SENGHOR</v>
      </c>
      <c r="H220" t="str">
        <f>"94450"</f>
        <v>94450</v>
      </c>
      <c r="I220" t="str">
        <f>"LIMEIL BREVANNES"</f>
        <v>LIMEIL BREVANNES</v>
      </c>
      <c r="J220" t="str">
        <f>"09 81 04 14 46 "</f>
        <v xml:space="preserve">09 81 04 14 46 </v>
      </c>
      <c r="L220" s="1">
        <v>44858</v>
      </c>
      <c r="M220" t="str">
        <f t="shared" si="36"/>
        <v>124</v>
      </c>
      <c r="N220" t="str">
        <f t="shared" si="37"/>
        <v>Centre de Santé</v>
      </c>
      <c r="O220" t="str">
        <f t="shared" si="44"/>
        <v>60</v>
      </c>
      <c r="P220" t="str">
        <f t="shared" si="45"/>
        <v>Association Loi 1901 non Reconnue d'Utilité Publique</v>
      </c>
      <c r="Q220" t="str">
        <f t="shared" si="38"/>
        <v>36</v>
      </c>
      <c r="R220" t="str">
        <f t="shared" si="39"/>
        <v>Tarifs conventionnels assurance maladie</v>
      </c>
      <c r="U220" t="str">
        <f>"770026441"</f>
        <v>770026441</v>
      </c>
    </row>
    <row r="221" spans="1:21" x14ac:dyDescent="0.3">
      <c r="A221" t="str">
        <f>"940029705"</f>
        <v>940029705</v>
      </c>
      <c r="B221" t="str">
        <f>"912 681 541 00021"</f>
        <v>912 681 541 00021</v>
      </c>
      <c r="D221" t="str">
        <f>"CDS THIAIS SOURIRE"</f>
        <v>CDS THIAIS SOURIRE</v>
      </c>
      <c r="F221" t="str">
        <f>"11 AVENUE RENE PANHARD"</f>
        <v>11 AVENUE RENE PANHARD</v>
      </c>
      <c r="H221" t="str">
        <f>"94320"</f>
        <v>94320</v>
      </c>
      <c r="I221" t="str">
        <f>"THIAIS"</f>
        <v>THIAIS</v>
      </c>
      <c r="J221" t="str">
        <f>"01 85 73 24 23 "</f>
        <v xml:space="preserve">01 85 73 24 23 </v>
      </c>
      <c r="L221" s="1">
        <v>44858</v>
      </c>
      <c r="M221" t="str">
        <f t="shared" si="36"/>
        <v>124</v>
      </c>
      <c r="N221" t="str">
        <f t="shared" si="37"/>
        <v>Centre de Santé</v>
      </c>
      <c r="O221" t="str">
        <f t="shared" si="44"/>
        <v>60</v>
      </c>
      <c r="P221" t="str">
        <f t="shared" si="45"/>
        <v>Association Loi 1901 non Reconnue d'Utilité Publique</v>
      </c>
      <c r="Q221" t="str">
        <f t="shared" si="38"/>
        <v>36</v>
      </c>
      <c r="R221" t="str">
        <f t="shared" si="39"/>
        <v>Tarifs conventionnels assurance maladie</v>
      </c>
      <c r="U221" t="str">
        <f>"940029697"</f>
        <v>940029697</v>
      </c>
    </row>
    <row r="222" spans="1:21" x14ac:dyDescent="0.3">
      <c r="A222" t="str">
        <f>"970215299"</f>
        <v>970215299</v>
      </c>
      <c r="D222" t="str">
        <f>"CENTRE DE SANTE OPHTALMOLOGIE"</f>
        <v>CENTRE DE SANTE OPHTALMOLOGIE</v>
      </c>
      <c r="F222" t="str">
        <f>"QUARTIER GASCHETTE"</f>
        <v>QUARTIER GASCHETTE</v>
      </c>
      <c r="H222" t="str">
        <f>"97231"</f>
        <v>97231</v>
      </c>
      <c r="I222" t="str">
        <f>"LE ROBERT"</f>
        <v>LE ROBERT</v>
      </c>
      <c r="L222" s="1">
        <v>44856</v>
      </c>
      <c r="M222" t="str">
        <f t="shared" si="36"/>
        <v>124</v>
      </c>
      <c r="N222" t="str">
        <f t="shared" si="37"/>
        <v>Centre de Santé</v>
      </c>
      <c r="O222" t="str">
        <f t="shared" si="44"/>
        <v>60</v>
      </c>
      <c r="P222" t="str">
        <f t="shared" si="45"/>
        <v>Association Loi 1901 non Reconnue d'Utilité Publique</v>
      </c>
      <c r="Q222" t="str">
        <f t="shared" si="38"/>
        <v>36</v>
      </c>
      <c r="R222" t="str">
        <f t="shared" si="39"/>
        <v>Tarifs conventionnels assurance maladie</v>
      </c>
      <c r="U222" t="str">
        <f>"970215281"</f>
        <v>970215281</v>
      </c>
    </row>
    <row r="223" spans="1:21" x14ac:dyDescent="0.3">
      <c r="A223" t="str">
        <f>"370016057"</f>
        <v>370016057</v>
      </c>
      <c r="B223" t="str">
        <f>"130 026 792 00015"</f>
        <v>130 026 792 00015</v>
      </c>
      <c r="D223" t="str">
        <f>"CENTRE DE SANTE REUGNY"</f>
        <v>CENTRE DE SANTE REUGNY</v>
      </c>
      <c r="F223" t="str">
        <f>"PLACE DU 8 MAI 1945"</f>
        <v>PLACE DU 8 MAI 1945</v>
      </c>
      <c r="H223" t="str">
        <f>"37380"</f>
        <v>37380</v>
      </c>
      <c r="I223" t="str">
        <f>"REUGNY"</f>
        <v>REUGNY</v>
      </c>
      <c r="L223" s="1">
        <v>44855</v>
      </c>
      <c r="M223" t="str">
        <f t="shared" si="36"/>
        <v>124</v>
      </c>
      <c r="N223" t="str">
        <f t="shared" si="37"/>
        <v>Centre de Santé</v>
      </c>
      <c r="O223" t="str">
        <f>"28"</f>
        <v>28</v>
      </c>
      <c r="P223" t="str">
        <f>"Groupement d'Intérêt Public (G.I.P.)"</f>
        <v>Groupement d'Intérêt Public (G.I.P.)</v>
      </c>
      <c r="Q223" t="str">
        <f>"99"</f>
        <v>99</v>
      </c>
      <c r="R223" t="str">
        <f>"Indéterminé"</f>
        <v>Indéterminé</v>
      </c>
      <c r="U223" t="str">
        <f>"450022801"</f>
        <v>450022801</v>
      </c>
    </row>
    <row r="224" spans="1:21" x14ac:dyDescent="0.3">
      <c r="A224" t="str">
        <f>"690052097"</f>
        <v>690052097</v>
      </c>
      <c r="B224" t="str">
        <f>"913 966 982 00013"</f>
        <v>913 966 982 00013</v>
      </c>
      <c r="D224" t="str">
        <f>"CENTRE DE SANTE MED-DENT CHARPENNES"</f>
        <v>CENTRE DE SANTE MED-DENT CHARPENNES</v>
      </c>
      <c r="F224" t="str">
        <f>"29 COURS EMILE ZOLA"</f>
        <v>29 COURS EMILE ZOLA</v>
      </c>
      <c r="H224" t="str">
        <f>"69100"</f>
        <v>69100</v>
      </c>
      <c r="I224" t="str">
        <f>"VILLEURBANNE"</f>
        <v>VILLEURBANNE</v>
      </c>
      <c r="L224" s="1">
        <v>44855</v>
      </c>
      <c r="M224" t="str">
        <f t="shared" si="36"/>
        <v>124</v>
      </c>
      <c r="N224" t="str">
        <f t="shared" si="37"/>
        <v>Centre de Santé</v>
      </c>
      <c r="O224" t="str">
        <f>"60"</f>
        <v>60</v>
      </c>
      <c r="P224" t="str">
        <f>"Association Loi 1901 non Reconnue d'Utilité Publique"</f>
        <v>Association Loi 1901 non Reconnue d'Utilité Publique</v>
      </c>
      <c r="Q224" t="str">
        <f t="shared" ref="Q224:Q246" si="46">"36"</f>
        <v>36</v>
      </c>
      <c r="R224" t="str">
        <f t="shared" ref="R224:R246" si="47">"Tarifs conventionnels assurance maladie"</f>
        <v>Tarifs conventionnels assurance maladie</v>
      </c>
      <c r="U224" t="str">
        <f>"690052089"</f>
        <v>690052089</v>
      </c>
    </row>
    <row r="225" spans="1:21" x14ac:dyDescent="0.3">
      <c r="A225" t="str">
        <f>"970412664"</f>
        <v>970412664</v>
      </c>
      <c r="D225" t="str">
        <f>"CDS VISION CLAIRE - SAINT PIERRE"</f>
        <v>CDS VISION CLAIRE - SAINT PIERRE</v>
      </c>
      <c r="F225" t="str">
        <f>"54 CHEMIN CACHALOT"</f>
        <v>54 CHEMIN CACHALOT</v>
      </c>
      <c r="H225" t="str">
        <f>"97410"</f>
        <v>97410</v>
      </c>
      <c r="I225" t="str">
        <f>"ST PIERRE"</f>
        <v>ST PIERRE</v>
      </c>
      <c r="J225" t="str">
        <f>"06 92 43 99 15 "</f>
        <v xml:space="preserve">06 92 43 99 15 </v>
      </c>
      <c r="L225" s="1">
        <v>44853</v>
      </c>
      <c r="M225" t="str">
        <f t="shared" si="36"/>
        <v>124</v>
      </c>
      <c r="N225" t="str">
        <f t="shared" si="37"/>
        <v>Centre de Santé</v>
      </c>
      <c r="O225" t="str">
        <f>"60"</f>
        <v>60</v>
      </c>
      <c r="P225" t="str">
        <f>"Association Loi 1901 non Reconnue d'Utilité Publique"</f>
        <v>Association Loi 1901 non Reconnue d'Utilité Publique</v>
      </c>
      <c r="Q225" t="str">
        <f t="shared" si="46"/>
        <v>36</v>
      </c>
      <c r="R225" t="str">
        <f t="shared" si="47"/>
        <v>Tarifs conventionnels assurance maladie</v>
      </c>
      <c r="U225" t="str">
        <f>"970411187"</f>
        <v>970411187</v>
      </c>
    </row>
    <row r="226" spans="1:21" x14ac:dyDescent="0.3">
      <c r="A226" t="str">
        <f>"910026095"</f>
        <v>910026095</v>
      </c>
      <c r="B226" t="str">
        <f>"907 490 791 00015"</f>
        <v>907 490 791 00015</v>
      </c>
      <c r="D226" t="str">
        <f>"CDS DENTAIRE ET D OPHTALMOLOGIE ODK"</f>
        <v>CDS DENTAIRE ET D OPHTALMOLOGIE ODK</v>
      </c>
      <c r="F226" t="str">
        <f>"20 RUE DE L ORME"</f>
        <v>20 RUE DE L ORME</v>
      </c>
      <c r="H226" t="str">
        <f>"91540"</f>
        <v>91540</v>
      </c>
      <c r="I226" t="str">
        <f>"FONTENAY LE VICOMTE"</f>
        <v>FONTENAY LE VICOMTE</v>
      </c>
      <c r="J226" t="str">
        <f>"01 84 74 41 55 "</f>
        <v xml:space="preserve">01 84 74 41 55 </v>
      </c>
      <c r="L226" s="1">
        <v>44851</v>
      </c>
      <c r="M226" t="str">
        <f t="shared" si="36"/>
        <v>124</v>
      </c>
      <c r="N226" t="str">
        <f t="shared" si="37"/>
        <v>Centre de Santé</v>
      </c>
      <c r="O226" t="str">
        <f>"60"</f>
        <v>60</v>
      </c>
      <c r="P226" t="str">
        <f>"Association Loi 1901 non Reconnue d'Utilité Publique"</f>
        <v>Association Loi 1901 non Reconnue d'Utilité Publique</v>
      </c>
      <c r="Q226" t="str">
        <f t="shared" si="46"/>
        <v>36</v>
      </c>
      <c r="R226" t="str">
        <f t="shared" si="47"/>
        <v>Tarifs conventionnels assurance maladie</v>
      </c>
      <c r="U226" t="str">
        <f>"910026087"</f>
        <v>910026087</v>
      </c>
    </row>
    <row r="227" spans="1:21" x14ac:dyDescent="0.3">
      <c r="A227" t="str">
        <f>"010012342"</f>
        <v>010012342</v>
      </c>
      <c r="B227" t="str">
        <f>"220 100 010 00010"</f>
        <v>220 100 010 00010</v>
      </c>
      <c r="D227" t="str">
        <f>"CENTRE DE SANTE DEPARTEMENTAL DE L'AIN"</f>
        <v>CENTRE DE SANTE DEPARTEMENTAL DE L'AIN</v>
      </c>
      <c r="F227" t="str">
        <f>"45 AVENUE ALSACE LORRAINE"</f>
        <v>45 AVENUE ALSACE LORRAINE</v>
      </c>
      <c r="G227" t="str">
        <f>"BP 10114"</f>
        <v>BP 10114</v>
      </c>
      <c r="H227" t="str">
        <f>"01003"</f>
        <v>01003</v>
      </c>
      <c r="I227" t="str">
        <f>"BOURG EN BRESSE CEDEX"</f>
        <v>BOURG EN BRESSE CEDEX</v>
      </c>
      <c r="J227" t="str">
        <f>"04 74 32 32 32 "</f>
        <v xml:space="preserve">04 74 32 32 32 </v>
      </c>
      <c r="L227" s="1">
        <v>44849</v>
      </c>
      <c r="M227" t="str">
        <f t="shared" si="36"/>
        <v>124</v>
      </c>
      <c r="N227" t="str">
        <f t="shared" si="37"/>
        <v>Centre de Santé</v>
      </c>
      <c r="O227" t="str">
        <f>"02"</f>
        <v>02</v>
      </c>
      <c r="P227" t="str">
        <f>"Département"</f>
        <v>Département</v>
      </c>
      <c r="Q227" t="str">
        <f t="shared" si="46"/>
        <v>36</v>
      </c>
      <c r="R227" t="str">
        <f t="shared" si="47"/>
        <v>Tarifs conventionnels assurance maladie</v>
      </c>
      <c r="U227" t="str">
        <f>"010785806"</f>
        <v>010785806</v>
      </c>
    </row>
    <row r="228" spans="1:21" x14ac:dyDescent="0.3">
      <c r="A228" t="str">
        <f>"940028954"</f>
        <v>940028954</v>
      </c>
      <c r="B228" t="str">
        <f>"905 224 655 00019"</f>
        <v>905 224 655 00019</v>
      </c>
      <c r="D228" t="str">
        <f>"CDS POLYVALENT LE PERREUX SUR MARNE"</f>
        <v>CDS POLYVALENT LE PERREUX SUR MARNE</v>
      </c>
      <c r="E228" t="str">
        <f>"183-187"</f>
        <v>183-187</v>
      </c>
      <c r="F228" t="str">
        <f>"183 AVENUE PIERRE BROSSOLETTE"</f>
        <v>183 AVENUE PIERRE BROSSOLETTE</v>
      </c>
      <c r="H228" t="str">
        <f>"94170"</f>
        <v>94170</v>
      </c>
      <c r="I228" t="str">
        <f>"LE PERREUX SUR MARNE"</f>
        <v>LE PERREUX SUR MARNE</v>
      </c>
      <c r="L228" s="1">
        <v>44846</v>
      </c>
      <c r="M228" t="str">
        <f t="shared" si="36"/>
        <v>124</v>
      </c>
      <c r="N228" t="str">
        <f t="shared" si="37"/>
        <v>Centre de Santé</v>
      </c>
      <c r="O228" t="str">
        <f>"60"</f>
        <v>60</v>
      </c>
      <c r="P228" t="str">
        <f>"Association Loi 1901 non Reconnue d'Utilité Publique"</f>
        <v>Association Loi 1901 non Reconnue d'Utilité Publique</v>
      </c>
      <c r="Q228" t="str">
        <f t="shared" si="46"/>
        <v>36</v>
      </c>
      <c r="R228" t="str">
        <f t="shared" si="47"/>
        <v>Tarifs conventionnels assurance maladie</v>
      </c>
      <c r="U228" t="str">
        <f>"940028947"</f>
        <v>940028947</v>
      </c>
    </row>
    <row r="229" spans="1:21" x14ac:dyDescent="0.3">
      <c r="A229" t="str">
        <f>"590068698"</f>
        <v>590068698</v>
      </c>
      <c r="B229" t="str">
        <f>"900 013 863 00023"</f>
        <v>900 013 863 00023</v>
      </c>
      <c r="D229" t="str">
        <f>"CSP VALENCIENNES"</f>
        <v>CSP VALENCIENNES</v>
      </c>
      <c r="F229" t="str">
        <f>"20 PLACE VERTES"</f>
        <v>20 PLACE VERTES</v>
      </c>
      <c r="H229" t="str">
        <f>"59300"</f>
        <v>59300</v>
      </c>
      <c r="I229" t="str">
        <f>"VALENCIENNES"</f>
        <v>VALENCIENNES</v>
      </c>
      <c r="J229" t="str">
        <f>"03 66 59 95 90 "</f>
        <v xml:space="preserve">03 66 59 95 90 </v>
      </c>
      <c r="L229" s="1">
        <v>44845</v>
      </c>
      <c r="M229" t="str">
        <f t="shared" si="36"/>
        <v>124</v>
      </c>
      <c r="N229" t="str">
        <f t="shared" si="37"/>
        <v>Centre de Santé</v>
      </c>
      <c r="O229" t="str">
        <f>"60"</f>
        <v>60</v>
      </c>
      <c r="P229" t="str">
        <f>"Association Loi 1901 non Reconnue d'Utilité Publique"</f>
        <v>Association Loi 1901 non Reconnue d'Utilité Publique</v>
      </c>
      <c r="Q229" t="str">
        <f t="shared" si="46"/>
        <v>36</v>
      </c>
      <c r="R229" t="str">
        <f t="shared" si="47"/>
        <v>Tarifs conventionnels assurance maladie</v>
      </c>
      <c r="U229" t="str">
        <f>"590065918"</f>
        <v>590065918</v>
      </c>
    </row>
    <row r="230" spans="1:21" x14ac:dyDescent="0.3">
      <c r="A230" t="str">
        <f>"130053168"</f>
        <v>130053168</v>
      </c>
      <c r="B230" t="str">
        <f>"900 894 981 00019"</f>
        <v>900 894 981 00019</v>
      </c>
      <c r="D230" t="str">
        <f>"CDS DENTAIRE ALLODENT SAINT CANNAT"</f>
        <v>CDS DENTAIRE ALLODENT SAINT CANNAT</v>
      </c>
      <c r="F230" t="str">
        <f>"ESPACE DAUMAS"</f>
        <v>ESPACE DAUMAS</v>
      </c>
      <c r="H230" t="str">
        <f>"13760"</f>
        <v>13760</v>
      </c>
      <c r="I230" t="str">
        <f>"ST CANNAT"</f>
        <v>ST CANNAT</v>
      </c>
      <c r="J230" t="str">
        <f>"06 14 87 21 42 "</f>
        <v xml:space="preserve">06 14 87 21 42 </v>
      </c>
      <c r="L230" s="1">
        <v>44844</v>
      </c>
      <c r="M230" t="str">
        <f t="shared" si="36"/>
        <v>124</v>
      </c>
      <c r="N230" t="str">
        <f t="shared" si="37"/>
        <v>Centre de Santé</v>
      </c>
      <c r="O230" t="str">
        <f>"60"</f>
        <v>60</v>
      </c>
      <c r="P230" t="str">
        <f>"Association Loi 1901 non Reconnue d'Utilité Publique"</f>
        <v>Association Loi 1901 non Reconnue d'Utilité Publique</v>
      </c>
      <c r="Q230" t="str">
        <f t="shared" si="46"/>
        <v>36</v>
      </c>
      <c r="R230" t="str">
        <f t="shared" si="47"/>
        <v>Tarifs conventionnels assurance maladie</v>
      </c>
      <c r="U230" t="str">
        <f>"130053150"</f>
        <v>130053150</v>
      </c>
    </row>
    <row r="231" spans="1:21" x14ac:dyDescent="0.3">
      <c r="A231" t="str">
        <f>"380026328"</f>
        <v>380026328</v>
      </c>
      <c r="B231" t="str">
        <f>"904 116 936 00017"</f>
        <v>904 116 936 00017</v>
      </c>
      <c r="D231" t="str">
        <f>"CENTRE DE SANTE HEALTH HUB GRENOBLE"</f>
        <v>CENTRE DE SANTE HEALTH HUB GRENOBLE</v>
      </c>
      <c r="F231" t="str">
        <f>"55 GRAND PLACE"</f>
        <v>55 GRAND PLACE</v>
      </c>
      <c r="H231" t="str">
        <f>"38130"</f>
        <v>38130</v>
      </c>
      <c r="I231" t="str">
        <f>"ECHIROLLES"</f>
        <v>ECHIROLLES</v>
      </c>
      <c r="L231" s="1">
        <v>44844</v>
      </c>
      <c r="M231" t="str">
        <f t="shared" si="36"/>
        <v>124</v>
      </c>
      <c r="N231" t="str">
        <f t="shared" si="37"/>
        <v>Centre de Santé</v>
      </c>
      <c r="O231" t="str">
        <f>"60"</f>
        <v>60</v>
      </c>
      <c r="P231" t="str">
        <f>"Association Loi 1901 non Reconnue d'Utilité Publique"</f>
        <v>Association Loi 1901 non Reconnue d'Utilité Publique</v>
      </c>
      <c r="Q231" t="str">
        <f t="shared" si="46"/>
        <v>36</v>
      </c>
      <c r="R231" t="str">
        <f t="shared" si="47"/>
        <v>Tarifs conventionnels assurance maladie</v>
      </c>
      <c r="U231" t="str">
        <f>"380026310"</f>
        <v>380026310</v>
      </c>
    </row>
    <row r="232" spans="1:21" x14ac:dyDescent="0.3">
      <c r="A232" t="str">
        <f>"420017824"</f>
        <v>420017824</v>
      </c>
      <c r="D232" t="str">
        <f>"CENTRE DE SANTE ECHOGRAPHIE DU MARAIS"</f>
        <v>CENTRE DE SANTE ECHOGRAPHIE DU MARAIS</v>
      </c>
      <c r="F232" t="str">
        <f>"72 BOULEVARD BARON DU MARAIS"</f>
        <v>72 BOULEVARD BARON DU MARAIS</v>
      </c>
      <c r="H232" t="str">
        <f>"42300"</f>
        <v>42300</v>
      </c>
      <c r="I232" t="str">
        <f>"ROANNE"</f>
        <v>ROANNE</v>
      </c>
      <c r="L232" s="1">
        <v>44844</v>
      </c>
      <c r="M232" t="str">
        <f t="shared" si="36"/>
        <v>124</v>
      </c>
      <c r="N232" t="str">
        <f t="shared" si="37"/>
        <v>Centre de Santé</v>
      </c>
      <c r="O232" t="str">
        <f>"60"</f>
        <v>60</v>
      </c>
      <c r="P232" t="str">
        <f>"Association Loi 1901 non Reconnue d'Utilité Publique"</f>
        <v>Association Loi 1901 non Reconnue d'Utilité Publique</v>
      </c>
      <c r="Q232" t="str">
        <f t="shared" si="46"/>
        <v>36</v>
      </c>
      <c r="R232" t="str">
        <f t="shared" si="47"/>
        <v>Tarifs conventionnels assurance maladie</v>
      </c>
      <c r="U232" t="str">
        <f>"420013971"</f>
        <v>420013971</v>
      </c>
    </row>
    <row r="233" spans="1:21" x14ac:dyDescent="0.3">
      <c r="A233" t="str">
        <f>"600016950"</f>
        <v>600016950</v>
      </c>
      <c r="B233" t="str">
        <f>"907 924 591 00023"</f>
        <v>907 924 591 00023</v>
      </c>
      <c r="D233" t="str">
        <f>"CSMS CREIL"</f>
        <v>CSMS CREIL</v>
      </c>
      <c r="F233" t="str">
        <f>"1 RUE DELATTRE DE TASSIGNY"</f>
        <v>1 RUE DELATTRE DE TASSIGNY</v>
      </c>
      <c r="H233" t="str">
        <f>"60100"</f>
        <v>60100</v>
      </c>
      <c r="I233" t="str">
        <f>"CREIL"</f>
        <v>CREIL</v>
      </c>
      <c r="L233" s="1">
        <v>44844</v>
      </c>
      <c r="M233" t="str">
        <f t="shared" si="36"/>
        <v>124</v>
      </c>
      <c r="N233" t="str">
        <f t="shared" si="37"/>
        <v>Centre de Santé</v>
      </c>
      <c r="O233" t="str">
        <f>"61"</f>
        <v>61</v>
      </c>
      <c r="P233" t="str">
        <f>"Association Loi 1901 Reconnue d'Utilité Publique"</f>
        <v>Association Loi 1901 Reconnue d'Utilité Publique</v>
      </c>
      <c r="Q233" t="str">
        <f t="shared" si="46"/>
        <v>36</v>
      </c>
      <c r="R233" t="str">
        <f t="shared" si="47"/>
        <v>Tarifs conventionnels assurance maladie</v>
      </c>
      <c r="U233" t="str">
        <f>"600016943"</f>
        <v>600016943</v>
      </c>
    </row>
    <row r="234" spans="1:21" x14ac:dyDescent="0.3">
      <c r="A234" t="str">
        <f>"640021721"</f>
        <v>640021721</v>
      </c>
      <c r="B234" t="str">
        <f>"912 798 592 00024"</f>
        <v>912 798 592 00024</v>
      </c>
      <c r="D234" t="str">
        <f>"CDS ACCES VISION PAU"</f>
        <v>CDS ACCES VISION PAU</v>
      </c>
      <c r="F234" t="str">
        <f>"16 RUE HENRI IV"</f>
        <v>16 RUE HENRI IV</v>
      </c>
      <c r="H234" t="str">
        <f>"64000"</f>
        <v>64000</v>
      </c>
      <c r="I234" t="str">
        <f>"PAU"</f>
        <v>PAU</v>
      </c>
      <c r="J234" t="str">
        <f>"06 99 25 26 05 "</f>
        <v xml:space="preserve">06 99 25 26 05 </v>
      </c>
      <c r="L234" s="1">
        <v>44844</v>
      </c>
      <c r="M234" t="str">
        <f t="shared" si="36"/>
        <v>124</v>
      </c>
      <c r="N234" t="str">
        <f t="shared" si="37"/>
        <v>Centre de Santé</v>
      </c>
      <c r="O234" t="str">
        <f t="shared" ref="O234:O241" si="48">"60"</f>
        <v>60</v>
      </c>
      <c r="P234" t="str">
        <f t="shared" ref="P234:P241" si="49">"Association Loi 1901 non Reconnue d'Utilité Publique"</f>
        <v>Association Loi 1901 non Reconnue d'Utilité Publique</v>
      </c>
      <c r="Q234" t="str">
        <f t="shared" si="46"/>
        <v>36</v>
      </c>
      <c r="R234" t="str">
        <f t="shared" si="47"/>
        <v>Tarifs conventionnels assurance maladie</v>
      </c>
      <c r="U234" t="str">
        <f>"940029762"</f>
        <v>940029762</v>
      </c>
    </row>
    <row r="235" spans="1:21" x14ac:dyDescent="0.3">
      <c r="A235" t="str">
        <f>"670021831"</f>
        <v>670021831</v>
      </c>
      <c r="D235" t="str">
        <f>"CENTRE DE SANTE DENTAIRE HAGUENAU"</f>
        <v>CENTRE DE SANTE DENTAIRE HAGUENAU</v>
      </c>
      <c r="F235" t="str">
        <f>"2 RUE DU PUITS"</f>
        <v>2 RUE DU PUITS</v>
      </c>
      <c r="H235" t="str">
        <f>"67500"</f>
        <v>67500</v>
      </c>
      <c r="I235" t="str">
        <f>"HAGUENAU"</f>
        <v>HAGUENAU</v>
      </c>
      <c r="J235" t="str">
        <f>"03 66 32 23 90 "</f>
        <v xml:space="preserve">03 66 32 23 90 </v>
      </c>
      <c r="L235" s="1">
        <v>44844</v>
      </c>
      <c r="M235" t="str">
        <f t="shared" si="36"/>
        <v>124</v>
      </c>
      <c r="N235" t="str">
        <f t="shared" si="37"/>
        <v>Centre de Santé</v>
      </c>
      <c r="O235" t="str">
        <f t="shared" si="48"/>
        <v>60</v>
      </c>
      <c r="P235" t="str">
        <f t="shared" si="49"/>
        <v>Association Loi 1901 non Reconnue d'Utilité Publique</v>
      </c>
      <c r="Q235" t="str">
        <f t="shared" si="46"/>
        <v>36</v>
      </c>
      <c r="R235" t="str">
        <f t="shared" si="47"/>
        <v>Tarifs conventionnels assurance maladie</v>
      </c>
      <c r="U235" t="str">
        <f>"750070625"</f>
        <v>750070625</v>
      </c>
    </row>
    <row r="236" spans="1:21" x14ac:dyDescent="0.3">
      <c r="A236" t="str">
        <f>"770026599"</f>
        <v>770026599</v>
      </c>
      <c r="B236" t="str">
        <f>"912 437 522 00010"</f>
        <v>912 437 522 00010</v>
      </c>
      <c r="D236" t="str">
        <f>"CDS MEDICO DENTAIRE DE SERRIS"</f>
        <v>CDS MEDICO DENTAIRE DE SERRIS</v>
      </c>
      <c r="F236" t="str">
        <f>"15 AVENUE DE SARIA"</f>
        <v>15 AVENUE DE SARIA</v>
      </c>
      <c r="H236" t="str">
        <f>"77700"</f>
        <v>77700</v>
      </c>
      <c r="I236" t="str">
        <f>"SERRIS"</f>
        <v>SERRIS</v>
      </c>
      <c r="J236" t="str">
        <f>"01 85 84 03 55 "</f>
        <v xml:space="preserve">01 85 84 03 55 </v>
      </c>
      <c r="L236" s="1">
        <v>44844</v>
      </c>
      <c r="M236" t="str">
        <f t="shared" si="36"/>
        <v>124</v>
      </c>
      <c r="N236" t="str">
        <f t="shared" si="37"/>
        <v>Centre de Santé</v>
      </c>
      <c r="O236" t="str">
        <f t="shared" si="48"/>
        <v>60</v>
      </c>
      <c r="P236" t="str">
        <f t="shared" si="49"/>
        <v>Association Loi 1901 non Reconnue d'Utilité Publique</v>
      </c>
      <c r="Q236" t="str">
        <f t="shared" si="46"/>
        <v>36</v>
      </c>
      <c r="R236" t="str">
        <f t="shared" si="47"/>
        <v>Tarifs conventionnels assurance maladie</v>
      </c>
      <c r="U236" t="str">
        <f>"770026581"</f>
        <v>770026581</v>
      </c>
    </row>
    <row r="237" spans="1:21" x14ac:dyDescent="0.3">
      <c r="A237" t="str">
        <f>"920039799"</f>
        <v>920039799</v>
      </c>
      <c r="B237" t="str">
        <f>"892 331 810 00028"</f>
        <v>892 331 810 00028</v>
      </c>
      <c r="D237" t="str">
        <f>"CDS VANVES SANTE"</f>
        <v>CDS VANVES SANTE</v>
      </c>
      <c r="F237" t="str">
        <f>"2 VILLA DE LA GARE"</f>
        <v>2 VILLA DE LA GARE</v>
      </c>
      <c r="H237" t="str">
        <f>"92170"</f>
        <v>92170</v>
      </c>
      <c r="I237" t="str">
        <f>"VANVES"</f>
        <v>VANVES</v>
      </c>
      <c r="J237" t="str">
        <f>"01 55 64 88 81 "</f>
        <v xml:space="preserve">01 55 64 88 81 </v>
      </c>
      <c r="L237" s="1">
        <v>44844</v>
      </c>
      <c r="M237" t="str">
        <f t="shared" si="36"/>
        <v>124</v>
      </c>
      <c r="N237" t="str">
        <f t="shared" si="37"/>
        <v>Centre de Santé</v>
      </c>
      <c r="O237" t="str">
        <f t="shared" si="48"/>
        <v>60</v>
      </c>
      <c r="P237" t="str">
        <f t="shared" si="49"/>
        <v>Association Loi 1901 non Reconnue d'Utilité Publique</v>
      </c>
      <c r="Q237" t="str">
        <f t="shared" si="46"/>
        <v>36</v>
      </c>
      <c r="R237" t="str">
        <f t="shared" si="47"/>
        <v>Tarifs conventionnels assurance maladie</v>
      </c>
      <c r="U237" t="str">
        <f>"920039781"</f>
        <v>920039781</v>
      </c>
    </row>
    <row r="238" spans="1:21" x14ac:dyDescent="0.3">
      <c r="A238" t="str">
        <f>"310033865"</f>
        <v>310033865</v>
      </c>
      <c r="B238" t="str">
        <f>"899 838 528 00011"</f>
        <v>899 838 528 00011</v>
      </c>
      <c r="D238" t="str">
        <f>"CENTRE DE SANTE TOULOUSE BAYARD"</f>
        <v>CENTRE DE SANTE TOULOUSE BAYARD</v>
      </c>
      <c r="F238" t="str">
        <f>"43 RUE DE BAYARD"</f>
        <v>43 RUE DE BAYARD</v>
      </c>
      <c r="H238" t="str">
        <f>"31000"</f>
        <v>31000</v>
      </c>
      <c r="I238" t="str">
        <f>"TOULOUSE"</f>
        <v>TOULOUSE</v>
      </c>
      <c r="J238" t="str">
        <f>"05 36 09 55 55 "</f>
        <v xml:space="preserve">05 36 09 55 55 </v>
      </c>
      <c r="L238" s="1">
        <v>44837</v>
      </c>
      <c r="M238" t="str">
        <f t="shared" si="36"/>
        <v>124</v>
      </c>
      <c r="N238" t="str">
        <f t="shared" si="37"/>
        <v>Centre de Santé</v>
      </c>
      <c r="O238" t="str">
        <f t="shared" si="48"/>
        <v>60</v>
      </c>
      <c r="P238" t="str">
        <f t="shared" si="49"/>
        <v>Association Loi 1901 non Reconnue d'Utilité Publique</v>
      </c>
      <c r="Q238" t="str">
        <f t="shared" si="46"/>
        <v>36</v>
      </c>
      <c r="R238" t="str">
        <f t="shared" si="47"/>
        <v>Tarifs conventionnels assurance maladie</v>
      </c>
      <c r="U238" t="str">
        <f>"310033857"</f>
        <v>310033857</v>
      </c>
    </row>
    <row r="239" spans="1:21" x14ac:dyDescent="0.3">
      <c r="A239" t="str">
        <f>"690051156"</f>
        <v>690051156</v>
      </c>
      <c r="B239" t="str">
        <f>"882 720 568 00030"</f>
        <v>882 720 568 00030</v>
      </c>
      <c r="D239" t="str">
        <f>"CENTRE DE SANTE DENTAIRE NEURO DENTAL"</f>
        <v>CENTRE DE SANTE DENTAIRE NEURO DENTAL</v>
      </c>
      <c r="F239" t="str">
        <f>"10 RUE DUMENGE"</f>
        <v>10 RUE DUMENGE</v>
      </c>
      <c r="H239" t="str">
        <f>"69004"</f>
        <v>69004</v>
      </c>
      <c r="I239" t="str">
        <f>"LYON"</f>
        <v>LYON</v>
      </c>
      <c r="J239" t="str">
        <f>"04 78 30 08 29 "</f>
        <v xml:space="preserve">04 78 30 08 29 </v>
      </c>
      <c r="L239" s="1">
        <v>44837</v>
      </c>
      <c r="M239" t="str">
        <f t="shared" si="36"/>
        <v>124</v>
      </c>
      <c r="N239" t="str">
        <f t="shared" si="37"/>
        <v>Centre de Santé</v>
      </c>
      <c r="O239" t="str">
        <f t="shared" si="48"/>
        <v>60</v>
      </c>
      <c r="P239" t="str">
        <f t="shared" si="49"/>
        <v>Association Loi 1901 non Reconnue d'Utilité Publique</v>
      </c>
      <c r="Q239" t="str">
        <f t="shared" si="46"/>
        <v>36</v>
      </c>
      <c r="R239" t="str">
        <f t="shared" si="47"/>
        <v>Tarifs conventionnels assurance maladie</v>
      </c>
      <c r="U239" t="str">
        <f>"690051149"</f>
        <v>690051149</v>
      </c>
    </row>
    <row r="240" spans="1:21" x14ac:dyDescent="0.3">
      <c r="A240" t="str">
        <f>"910026350"</f>
        <v>910026350</v>
      </c>
      <c r="B240" t="str">
        <f>"904 771 144 00022"</f>
        <v>904 771 144 00022</v>
      </c>
      <c r="D240" t="str">
        <f>"CDS DENTAIRE ATHIS MONS"</f>
        <v>CDS DENTAIRE ATHIS MONS</v>
      </c>
      <c r="E240" t="str">
        <f>"24-26"</f>
        <v>24-26</v>
      </c>
      <c r="F240" t="str">
        <f>"24 AVENUE FRANCOIS MITTERAND"</f>
        <v>24 AVENUE FRANCOIS MITTERAND</v>
      </c>
      <c r="H240" t="str">
        <f>"91200"</f>
        <v>91200</v>
      </c>
      <c r="I240" t="str">
        <f>"ATHIS MONS"</f>
        <v>ATHIS MONS</v>
      </c>
      <c r="J240" t="str">
        <f>"06 86 55 81 80 "</f>
        <v xml:space="preserve">06 86 55 81 80 </v>
      </c>
      <c r="L240" s="1">
        <v>44837</v>
      </c>
      <c r="M240" t="str">
        <f t="shared" si="36"/>
        <v>124</v>
      </c>
      <c r="N240" t="str">
        <f t="shared" si="37"/>
        <v>Centre de Santé</v>
      </c>
      <c r="O240" t="str">
        <f t="shared" si="48"/>
        <v>60</v>
      </c>
      <c r="P240" t="str">
        <f t="shared" si="49"/>
        <v>Association Loi 1901 non Reconnue d'Utilité Publique</v>
      </c>
      <c r="Q240" t="str">
        <f t="shared" si="46"/>
        <v>36</v>
      </c>
      <c r="R240" t="str">
        <f t="shared" si="47"/>
        <v>Tarifs conventionnels assurance maladie</v>
      </c>
      <c r="U240" t="str">
        <f>"910026624"</f>
        <v>910026624</v>
      </c>
    </row>
    <row r="241" spans="1:21" x14ac:dyDescent="0.3">
      <c r="A241" t="str">
        <f>"920038031"</f>
        <v>920038031</v>
      </c>
      <c r="B241" t="str">
        <f>"408 457 299 00019"</f>
        <v>408 457 299 00019</v>
      </c>
      <c r="D241" t="str">
        <f>"CDS FOCH PARIS LA DEFENSE"</f>
        <v>CDS FOCH PARIS LA DEFENSE</v>
      </c>
      <c r="F241" t="str">
        <f>"12 PLACE DES REFLETS"</f>
        <v>12 PLACE DES REFLETS</v>
      </c>
      <c r="H241" t="str">
        <f>"92400"</f>
        <v>92400</v>
      </c>
      <c r="I241" t="str">
        <f>"COURBEVOIE"</f>
        <v>COURBEVOIE</v>
      </c>
      <c r="J241" t="str">
        <f>"01 46 25 55 15 "</f>
        <v xml:space="preserve">01 46 25 55 15 </v>
      </c>
      <c r="L241" s="1">
        <v>44837</v>
      </c>
      <c r="M241" t="str">
        <f t="shared" si="36"/>
        <v>124</v>
      </c>
      <c r="N241" t="str">
        <f t="shared" si="37"/>
        <v>Centre de Santé</v>
      </c>
      <c r="O241" t="str">
        <f t="shared" si="48"/>
        <v>60</v>
      </c>
      <c r="P241" t="str">
        <f t="shared" si="49"/>
        <v>Association Loi 1901 non Reconnue d'Utilité Publique</v>
      </c>
      <c r="Q241" t="str">
        <f t="shared" si="46"/>
        <v>36</v>
      </c>
      <c r="R241" t="str">
        <f t="shared" si="47"/>
        <v>Tarifs conventionnels assurance maladie</v>
      </c>
      <c r="U241" t="str">
        <f>"920150059"</f>
        <v>920150059</v>
      </c>
    </row>
    <row r="242" spans="1:21" x14ac:dyDescent="0.3">
      <c r="A242" t="str">
        <f>"150004034"</f>
        <v>150004034</v>
      </c>
      <c r="B242" t="str">
        <f>"779 076 504 00157"</f>
        <v>779 076 504 00157</v>
      </c>
      <c r="D242" t="str">
        <f>"CENTRE DE SANTE DENTAIRE SAINT-FLOUR"</f>
        <v>CENTRE DE SANTE DENTAIRE SAINT-FLOUR</v>
      </c>
      <c r="F242" t="str">
        <f>"15 COURS SPY DES TERNES"</f>
        <v>15 COURS SPY DES TERNES</v>
      </c>
      <c r="H242" t="str">
        <f>"15100"</f>
        <v>15100</v>
      </c>
      <c r="I242" t="str">
        <f>"ST FLOUR"</f>
        <v>ST FLOUR</v>
      </c>
      <c r="L242" s="1">
        <v>44835</v>
      </c>
      <c r="M242" t="str">
        <f t="shared" si="36"/>
        <v>124</v>
      </c>
      <c r="N242" t="str">
        <f t="shared" si="37"/>
        <v>Centre de Santé</v>
      </c>
      <c r="O242" t="str">
        <f>"47"</f>
        <v>47</v>
      </c>
      <c r="P242" t="str">
        <f>"Société Mutualiste"</f>
        <v>Société Mutualiste</v>
      </c>
      <c r="Q242" t="str">
        <f t="shared" si="46"/>
        <v>36</v>
      </c>
      <c r="R242" t="str">
        <f t="shared" si="47"/>
        <v>Tarifs conventionnels assurance maladie</v>
      </c>
      <c r="U242" t="str">
        <f>"150782662"</f>
        <v>150782662</v>
      </c>
    </row>
    <row r="243" spans="1:21" x14ac:dyDescent="0.3">
      <c r="A243" t="str">
        <f>"930030671"</f>
        <v>930030671</v>
      </c>
      <c r="B243" t="str">
        <f>"894 734 896 00018"</f>
        <v>894 734 896 00018</v>
      </c>
      <c r="D243" t="str">
        <f>"CDS DENTAIRE BLANC MESNIL"</f>
        <v>CDS DENTAIRE BLANC MESNIL</v>
      </c>
      <c r="F243" t="str">
        <f>"15 AVENUE DE LA REPUBLIQUE"</f>
        <v>15 AVENUE DE LA REPUBLIQUE</v>
      </c>
      <c r="H243" t="str">
        <f>"93150"</f>
        <v>93150</v>
      </c>
      <c r="I243" t="str">
        <f>"LE BLANC MESNIL"</f>
        <v>LE BLANC MESNIL</v>
      </c>
      <c r="J243" t="str">
        <f>"06 29 74 00 95 "</f>
        <v xml:space="preserve">06 29 74 00 95 </v>
      </c>
      <c r="L243" s="1">
        <v>44835</v>
      </c>
      <c r="M243" t="str">
        <f t="shared" si="36"/>
        <v>124</v>
      </c>
      <c r="N243" t="str">
        <f t="shared" si="37"/>
        <v>Centre de Santé</v>
      </c>
      <c r="O243" t="str">
        <f>"60"</f>
        <v>60</v>
      </c>
      <c r="P243" t="str">
        <f>"Association Loi 1901 non Reconnue d'Utilité Publique"</f>
        <v>Association Loi 1901 non Reconnue d'Utilité Publique</v>
      </c>
      <c r="Q243" t="str">
        <f t="shared" si="46"/>
        <v>36</v>
      </c>
      <c r="R243" t="str">
        <f t="shared" si="47"/>
        <v>Tarifs conventionnels assurance maladie</v>
      </c>
      <c r="U243" t="str">
        <f>"950045724"</f>
        <v>950045724</v>
      </c>
    </row>
    <row r="244" spans="1:21" x14ac:dyDescent="0.3">
      <c r="A244" t="str">
        <f>"780029203"</f>
        <v>780029203</v>
      </c>
      <c r="B244" t="str">
        <f>"912 390 838 00015"</f>
        <v>912 390 838 00015</v>
      </c>
      <c r="D244" t="str">
        <f>"CDS MEDICO DENTAIRE MANTES LA JOLIE"</f>
        <v>CDS MEDICO DENTAIRE MANTES LA JOLIE</v>
      </c>
      <c r="F244" t="str">
        <f>"3 RUE D ALSACE"</f>
        <v>3 RUE D ALSACE</v>
      </c>
      <c r="H244" t="str">
        <f>"78200"</f>
        <v>78200</v>
      </c>
      <c r="I244" t="str">
        <f>"MANTES LA JOLIE"</f>
        <v>MANTES LA JOLIE</v>
      </c>
      <c r="J244" t="str">
        <f>"01 81 22 21 43 "</f>
        <v xml:space="preserve">01 81 22 21 43 </v>
      </c>
      <c r="L244" s="1">
        <v>44830</v>
      </c>
      <c r="M244" t="str">
        <f t="shared" si="36"/>
        <v>124</v>
      </c>
      <c r="N244" t="str">
        <f t="shared" si="37"/>
        <v>Centre de Santé</v>
      </c>
      <c r="O244" t="str">
        <f>"60"</f>
        <v>60</v>
      </c>
      <c r="P244" t="str">
        <f>"Association Loi 1901 non Reconnue d'Utilité Publique"</f>
        <v>Association Loi 1901 non Reconnue d'Utilité Publique</v>
      </c>
      <c r="Q244" t="str">
        <f t="shared" si="46"/>
        <v>36</v>
      </c>
      <c r="R244" t="str">
        <f t="shared" si="47"/>
        <v>Tarifs conventionnels assurance maladie</v>
      </c>
      <c r="U244" t="str">
        <f>"780029195"</f>
        <v>780029195</v>
      </c>
    </row>
    <row r="245" spans="1:21" x14ac:dyDescent="0.3">
      <c r="A245" t="str">
        <f>"930032065"</f>
        <v>930032065</v>
      </c>
      <c r="B245" t="str">
        <f>"912 390 556 00013"</f>
        <v>912 390 556 00013</v>
      </c>
      <c r="D245" t="str">
        <f>"CDS DES DEUX COMMUNES"</f>
        <v>CDS DES DEUX COMMUNES</v>
      </c>
      <c r="F245" t="str">
        <f>"19 RUE DES DEUX COMMUNES"</f>
        <v>19 RUE DES DEUX COMMUNES</v>
      </c>
      <c r="H245" t="str">
        <f>"93100"</f>
        <v>93100</v>
      </c>
      <c r="I245" t="str">
        <f>"MONTREUIL"</f>
        <v>MONTREUIL</v>
      </c>
      <c r="L245" s="1">
        <v>44830</v>
      </c>
      <c r="M245" t="str">
        <f t="shared" si="36"/>
        <v>124</v>
      </c>
      <c r="N245" t="str">
        <f t="shared" si="37"/>
        <v>Centre de Santé</v>
      </c>
      <c r="O245" t="str">
        <f>"60"</f>
        <v>60</v>
      </c>
      <c r="P245" t="str">
        <f>"Association Loi 1901 non Reconnue d'Utilité Publique"</f>
        <v>Association Loi 1901 non Reconnue d'Utilité Publique</v>
      </c>
      <c r="Q245" t="str">
        <f t="shared" si="46"/>
        <v>36</v>
      </c>
      <c r="R245" t="str">
        <f t="shared" si="47"/>
        <v>Tarifs conventionnels assurance maladie</v>
      </c>
      <c r="U245" t="str">
        <f>"930032057"</f>
        <v>930032057</v>
      </c>
    </row>
    <row r="246" spans="1:21" x14ac:dyDescent="0.3">
      <c r="A246" t="str">
        <f>"970306122"</f>
        <v>970306122</v>
      </c>
      <c r="B246" t="str">
        <f>"883 232 613 00017"</f>
        <v>883 232 613 00017</v>
      </c>
      <c r="D246" t="str">
        <f>"CENTRE DE SANTE DENTAIRE OGSO"</f>
        <v>CENTRE DE SANTE DENTAIRE OGSO</v>
      </c>
      <c r="F246" t="str">
        <f>"357 ROUTE DE REMIRE"</f>
        <v>357 ROUTE DE REMIRE</v>
      </c>
      <c r="H246" t="str">
        <f>"97354"</f>
        <v>97354</v>
      </c>
      <c r="I246" t="str">
        <f>"REMIRE MONTJOLY"</f>
        <v>REMIRE MONTJOLY</v>
      </c>
      <c r="J246" t="str">
        <f>"06 94 42 97 70 "</f>
        <v xml:space="preserve">06 94 42 97 70 </v>
      </c>
      <c r="L246" s="1">
        <v>44827</v>
      </c>
      <c r="M246" t="str">
        <f t="shared" si="36"/>
        <v>124</v>
      </c>
      <c r="N246" t="str">
        <f t="shared" si="37"/>
        <v>Centre de Santé</v>
      </c>
      <c r="O246" t="str">
        <f>"61"</f>
        <v>61</v>
      </c>
      <c r="P246" t="str">
        <f>"Association Loi 1901 Reconnue d'Utilité Publique"</f>
        <v>Association Loi 1901 Reconnue d'Utilité Publique</v>
      </c>
      <c r="Q246" t="str">
        <f t="shared" si="46"/>
        <v>36</v>
      </c>
      <c r="R246" t="str">
        <f t="shared" si="47"/>
        <v>Tarifs conventionnels assurance maladie</v>
      </c>
      <c r="U246" t="str">
        <f>"970306114"</f>
        <v>970306114</v>
      </c>
    </row>
    <row r="247" spans="1:21" x14ac:dyDescent="0.3">
      <c r="A247" t="str">
        <f>"360008973"</f>
        <v>360008973</v>
      </c>
      <c r="B247" t="str">
        <f>"130 026 792 00015"</f>
        <v>130 026 792 00015</v>
      </c>
      <c r="D247" t="str">
        <f>"CENTRE DE SANTE"</f>
        <v>CENTRE DE SANTE</v>
      </c>
      <c r="F247" t="str">
        <f>"1 RUE HUBERT PHILIPPEAU"</f>
        <v>1 RUE HUBERT PHILIPPEAU</v>
      </c>
      <c r="H247" t="str">
        <f>"36500"</f>
        <v>36500</v>
      </c>
      <c r="I247" t="str">
        <f>"BUZANCAIS"</f>
        <v>BUZANCAIS</v>
      </c>
      <c r="L247" s="1">
        <v>44825</v>
      </c>
      <c r="M247" t="str">
        <f t="shared" si="36"/>
        <v>124</v>
      </c>
      <c r="N247" t="str">
        <f t="shared" si="37"/>
        <v>Centre de Santé</v>
      </c>
      <c r="O247" t="str">
        <f>"28"</f>
        <v>28</v>
      </c>
      <c r="P247" t="str">
        <f>"Groupement d'Intérêt Public (G.I.P.)"</f>
        <v>Groupement d'Intérêt Public (G.I.P.)</v>
      </c>
      <c r="Q247" t="str">
        <f>"99"</f>
        <v>99</v>
      </c>
      <c r="R247" t="str">
        <f>"Indéterminé"</f>
        <v>Indéterminé</v>
      </c>
      <c r="U247" t="str">
        <f>"450022801"</f>
        <v>450022801</v>
      </c>
    </row>
    <row r="248" spans="1:21" x14ac:dyDescent="0.3">
      <c r="A248" t="str">
        <f>"2A0004826"</f>
        <v>2A0004826</v>
      </c>
      <c r="B248" t="str">
        <f>"902 920 313 00019"</f>
        <v>902 920 313 00019</v>
      </c>
      <c r="D248" t="str">
        <f>"CENTRE DE SANTE SAGEO AJACCIO"</f>
        <v>CENTRE DE SANTE SAGEO AJACCIO</v>
      </c>
      <c r="F248" t="str">
        <f>"139 ROUTE DU DR DE ROCCA SERRA"</f>
        <v>139 ROUTE DU DR DE ROCCA SERRA</v>
      </c>
      <c r="G248" t="str">
        <f>"LE VAZZIO"</f>
        <v>LE VAZZIO</v>
      </c>
      <c r="H248" t="str">
        <f>"20090"</f>
        <v>20090</v>
      </c>
      <c r="I248" t="str">
        <f>"AJACCIO"</f>
        <v>AJACCIO</v>
      </c>
      <c r="L248" s="1">
        <v>44823</v>
      </c>
      <c r="M248" t="str">
        <f t="shared" si="36"/>
        <v>124</v>
      </c>
      <c r="N248" t="str">
        <f t="shared" si="37"/>
        <v>Centre de Santé</v>
      </c>
      <c r="O248" t="str">
        <f>"60"</f>
        <v>60</v>
      </c>
      <c r="P248" t="str">
        <f>"Association Loi 1901 non Reconnue d'Utilité Publique"</f>
        <v>Association Loi 1901 non Reconnue d'Utilité Publique</v>
      </c>
      <c r="Q248" t="str">
        <f t="shared" ref="Q248:Q279" si="50">"36"</f>
        <v>36</v>
      </c>
      <c r="R248" t="str">
        <f t="shared" ref="R248:R279" si="51">"Tarifs conventionnels assurance maladie"</f>
        <v>Tarifs conventionnels assurance maladie</v>
      </c>
      <c r="U248" t="str">
        <f>"750070096"</f>
        <v>750070096</v>
      </c>
    </row>
    <row r="249" spans="1:21" x14ac:dyDescent="0.3">
      <c r="A249" t="str">
        <f>"340029396"</f>
        <v>340029396</v>
      </c>
      <c r="B249" t="str">
        <f>"850 579 335 00033"</f>
        <v>850 579 335 00033</v>
      </c>
      <c r="D249" t="str">
        <f>"CENTRE DENTAIRE SAINT ELOI"</f>
        <v>CENTRE DENTAIRE SAINT ELOI</v>
      </c>
      <c r="F249" t="str">
        <f>"45 AVENUE DU PROFESSEUR GRASSET"</f>
        <v>45 AVENUE DU PROFESSEUR GRASSET</v>
      </c>
      <c r="H249" t="str">
        <f>"34090"</f>
        <v>34090</v>
      </c>
      <c r="I249" t="str">
        <f>"MONTPELLIER"</f>
        <v>MONTPELLIER</v>
      </c>
      <c r="J249" t="str">
        <f>"04 34 48 18 88 "</f>
        <v xml:space="preserve">04 34 48 18 88 </v>
      </c>
      <c r="L249" s="1">
        <v>44823</v>
      </c>
      <c r="M249" t="str">
        <f t="shared" si="36"/>
        <v>124</v>
      </c>
      <c r="N249" t="str">
        <f t="shared" si="37"/>
        <v>Centre de Santé</v>
      </c>
      <c r="O249" t="str">
        <f>"60"</f>
        <v>60</v>
      </c>
      <c r="P249" t="str">
        <f>"Association Loi 1901 non Reconnue d'Utilité Publique"</f>
        <v>Association Loi 1901 non Reconnue d'Utilité Publique</v>
      </c>
      <c r="Q249" t="str">
        <f t="shared" si="50"/>
        <v>36</v>
      </c>
      <c r="R249" t="str">
        <f t="shared" si="51"/>
        <v>Tarifs conventionnels assurance maladie</v>
      </c>
      <c r="U249" t="str">
        <f>"340029313"</f>
        <v>340029313</v>
      </c>
    </row>
    <row r="250" spans="1:21" x14ac:dyDescent="0.3">
      <c r="A250" t="str">
        <f>"380026641"</f>
        <v>380026641</v>
      </c>
      <c r="B250" t="str">
        <f>"912 614 625 00016"</f>
        <v>912 614 625 00016</v>
      </c>
      <c r="D250" t="str">
        <f>"CENTRE DE SANTE DE SAINT-EGREVE"</f>
        <v>CENTRE DE SANTE DE SAINT-EGREVE</v>
      </c>
      <c r="F250" t="str">
        <f>"9 RUE DE LA CONTAMINE"</f>
        <v>9 RUE DE LA CONTAMINE</v>
      </c>
      <c r="H250" t="str">
        <f>"38120"</f>
        <v>38120</v>
      </c>
      <c r="I250" t="str">
        <f>"ST EGREVE"</f>
        <v>ST EGREVE</v>
      </c>
      <c r="L250" s="1">
        <v>44823</v>
      </c>
      <c r="M250" t="str">
        <f t="shared" si="36"/>
        <v>124</v>
      </c>
      <c r="N250" t="str">
        <f t="shared" si="37"/>
        <v>Centre de Santé</v>
      </c>
      <c r="O250" t="str">
        <f>"60"</f>
        <v>60</v>
      </c>
      <c r="P250" t="str">
        <f>"Association Loi 1901 non Reconnue d'Utilité Publique"</f>
        <v>Association Loi 1901 non Reconnue d'Utilité Publique</v>
      </c>
      <c r="Q250" t="str">
        <f t="shared" si="50"/>
        <v>36</v>
      </c>
      <c r="R250" t="str">
        <f t="shared" si="51"/>
        <v>Tarifs conventionnels assurance maladie</v>
      </c>
      <c r="U250" t="str">
        <f>"380026633"</f>
        <v>380026633</v>
      </c>
    </row>
    <row r="251" spans="1:21" x14ac:dyDescent="0.3">
      <c r="A251" t="str">
        <f>"680023355"</f>
        <v>680023355</v>
      </c>
      <c r="B251" t="str">
        <f>"775 685 316 04100"</f>
        <v>775 685 316 04100</v>
      </c>
      <c r="D251" t="str">
        <f>"CENTRE DE SANTE FILIERIS ENSISHEIM"</f>
        <v>CENTRE DE SANTE FILIERIS ENSISHEIM</v>
      </c>
      <c r="F251" t="str">
        <f>"3 RUE DE COLMAR"</f>
        <v>3 RUE DE COLMAR</v>
      </c>
      <c r="H251" t="str">
        <f>"68190"</f>
        <v>68190</v>
      </c>
      <c r="I251" t="str">
        <f>"ENSISHEIM"</f>
        <v>ENSISHEIM</v>
      </c>
      <c r="J251" t="str">
        <f>"03 89 81 02 61 "</f>
        <v xml:space="preserve">03 89 81 02 61 </v>
      </c>
      <c r="L251" s="1">
        <v>44823</v>
      </c>
      <c r="M251" t="str">
        <f t="shared" si="36"/>
        <v>124</v>
      </c>
      <c r="N251" t="str">
        <f t="shared" si="37"/>
        <v>Centre de Santé</v>
      </c>
      <c r="O251" t="str">
        <f>"41"</f>
        <v>41</v>
      </c>
      <c r="P251" t="str">
        <f>"Régime Spécial de Sécurité Sociale"</f>
        <v>Régime Spécial de Sécurité Sociale</v>
      </c>
      <c r="Q251" t="str">
        <f t="shared" si="50"/>
        <v>36</v>
      </c>
      <c r="R251" t="str">
        <f t="shared" si="51"/>
        <v>Tarifs conventionnels assurance maladie</v>
      </c>
      <c r="U251" t="str">
        <f>"750050759"</f>
        <v>750050759</v>
      </c>
    </row>
    <row r="252" spans="1:21" x14ac:dyDescent="0.3">
      <c r="A252" t="str">
        <f>"780029146"</f>
        <v>780029146</v>
      </c>
      <c r="B252" t="str">
        <f>"910 153 444 00021"</f>
        <v>910 153 444 00021</v>
      </c>
      <c r="D252" t="str">
        <f>"CDS DENTAIRE DE FRANCE"</f>
        <v>CDS DENTAIRE DE FRANCE</v>
      </c>
      <c r="F252" t="str">
        <f>"35 ESPLANADE DU GRAND SIECLE"</f>
        <v>35 ESPLANADE DU GRAND SIECLE</v>
      </c>
      <c r="H252" t="str">
        <f>"78000"</f>
        <v>78000</v>
      </c>
      <c r="I252" t="str">
        <f>"VERSAILLES"</f>
        <v>VERSAILLES</v>
      </c>
      <c r="J252" t="str">
        <f>"01 87 12 77 77 "</f>
        <v xml:space="preserve">01 87 12 77 77 </v>
      </c>
      <c r="L252" s="1">
        <v>44823</v>
      </c>
      <c r="M252" t="str">
        <f t="shared" si="36"/>
        <v>124</v>
      </c>
      <c r="N252" t="str">
        <f t="shared" si="37"/>
        <v>Centre de Santé</v>
      </c>
      <c r="O252" t="str">
        <f>"60"</f>
        <v>60</v>
      </c>
      <c r="P252" t="str">
        <f>"Association Loi 1901 non Reconnue d'Utilité Publique"</f>
        <v>Association Loi 1901 non Reconnue d'Utilité Publique</v>
      </c>
      <c r="Q252" t="str">
        <f t="shared" si="50"/>
        <v>36</v>
      </c>
      <c r="R252" t="str">
        <f t="shared" si="51"/>
        <v>Tarifs conventionnels assurance maladie</v>
      </c>
      <c r="U252" t="str">
        <f>"780029138"</f>
        <v>780029138</v>
      </c>
    </row>
    <row r="253" spans="1:21" x14ac:dyDescent="0.3">
      <c r="A253" t="str">
        <f>"800021685"</f>
        <v>800021685</v>
      </c>
      <c r="B253" t="str">
        <f>"911 597 573 00011"</f>
        <v>911 597 573 00011</v>
      </c>
      <c r="D253" t="str">
        <f>"CSD DENTEGO AMIENS"</f>
        <v>CSD DENTEGO AMIENS</v>
      </c>
      <c r="F253" t="str">
        <f>"628 AVENUE DU 14 JUILLET"</f>
        <v>628 AVENUE DU 14 JUILLET</v>
      </c>
      <c r="H253" t="str">
        <f>"80000"</f>
        <v>80000</v>
      </c>
      <c r="I253" t="str">
        <f>"AMIENS"</f>
        <v>AMIENS</v>
      </c>
      <c r="J253" t="str">
        <f>"03 64 01 79 79 "</f>
        <v xml:space="preserve">03 64 01 79 79 </v>
      </c>
      <c r="L253" s="1">
        <v>44823</v>
      </c>
      <c r="M253" t="str">
        <f t="shared" si="36"/>
        <v>124</v>
      </c>
      <c r="N253" t="str">
        <f t="shared" si="37"/>
        <v>Centre de Santé</v>
      </c>
      <c r="O253" t="str">
        <f>"61"</f>
        <v>61</v>
      </c>
      <c r="P253" t="str">
        <f>"Association Loi 1901 Reconnue d'Utilité Publique"</f>
        <v>Association Loi 1901 Reconnue d'Utilité Publique</v>
      </c>
      <c r="Q253" t="str">
        <f t="shared" si="50"/>
        <v>36</v>
      </c>
      <c r="R253" t="str">
        <f t="shared" si="51"/>
        <v>Tarifs conventionnels assurance maladie</v>
      </c>
      <c r="U253" t="str">
        <f>"800021677"</f>
        <v>800021677</v>
      </c>
    </row>
    <row r="254" spans="1:21" x14ac:dyDescent="0.3">
      <c r="A254" t="str">
        <f>"600016851"</f>
        <v>600016851</v>
      </c>
      <c r="B254" t="str">
        <f>"891 631 319 00011"</f>
        <v>891 631 319 00011</v>
      </c>
      <c r="D254" t="str">
        <f>"CSP OPHTALMIQUE"</f>
        <v>CSP OPHTALMIQUE</v>
      </c>
      <c r="F254" t="str">
        <f>"12 RUE LEGENDRE"</f>
        <v>12 RUE LEGENDRE</v>
      </c>
      <c r="H254" t="str">
        <f>"60200"</f>
        <v>60200</v>
      </c>
      <c r="I254" t="str">
        <f>"COMPIEGNE"</f>
        <v>COMPIEGNE</v>
      </c>
      <c r="J254" t="str">
        <f>"03 75 83 00 20 "</f>
        <v xml:space="preserve">03 75 83 00 20 </v>
      </c>
      <c r="L254" s="1">
        <v>44819</v>
      </c>
      <c r="M254" t="str">
        <f t="shared" si="36"/>
        <v>124</v>
      </c>
      <c r="N254" t="str">
        <f t="shared" si="37"/>
        <v>Centre de Santé</v>
      </c>
      <c r="O254" t="str">
        <f>"61"</f>
        <v>61</v>
      </c>
      <c r="P254" t="str">
        <f>"Association Loi 1901 Reconnue d'Utilité Publique"</f>
        <v>Association Loi 1901 Reconnue d'Utilité Publique</v>
      </c>
      <c r="Q254" t="str">
        <f t="shared" si="50"/>
        <v>36</v>
      </c>
      <c r="R254" t="str">
        <f t="shared" si="51"/>
        <v>Tarifs conventionnels assurance maladie</v>
      </c>
      <c r="U254" t="str">
        <f>"600016844"</f>
        <v>600016844</v>
      </c>
    </row>
    <row r="255" spans="1:21" x14ac:dyDescent="0.3">
      <c r="A255" t="str">
        <f>"930030705"</f>
        <v>930030705</v>
      </c>
      <c r="B255" t="str">
        <f>"893 374 454 00013"</f>
        <v>893 374 454 00013</v>
      </c>
      <c r="D255" t="str">
        <f>"CDS OPHTALMOLOGIQUE BEAU SEVRAN"</f>
        <v>CDS OPHTALMOLOGIQUE BEAU SEVRAN</v>
      </c>
      <c r="F255" t="str">
        <f>"ROUTE DES PETITS PONTS"</f>
        <v>ROUTE DES PETITS PONTS</v>
      </c>
      <c r="G255" t="str">
        <f>"CCIAL BEAU SEVRAN"</f>
        <v>CCIAL BEAU SEVRAN</v>
      </c>
      <c r="H255" t="str">
        <f>"93270"</f>
        <v>93270</v>
      </c>
      <c r="I255" t="str">
        <f>"SEVRAN"</f>
        <v>SEVRAN</v>
      </c>
      <c r="J255" t="str">
        <f>"06 23 18 21 78 "</f>
        <v xml:space="preserve">06 23 18 21 78 </v>
      </c>
      <c r="L255" s="1">
        <v>44819</v>
      </c>
      <c r="M255" t="str">
        <f t="shared" si="36"/>
        <v>124</v>
      </c>
      <c r="N255" t="str">
        <f t="shared" si="37"/>
        <v>Centre de Santé</v>
      </c>
      <c r="O255" t="str">
        <f>"60"</f>
        <v>60</v>
      </c>
      <c r="P255" t="str">
        <f>"Association Loi 1901 non Reconnue d'Utilité Publique"</f>
        <v>Association Loi 1901 non Reconnue d'Utilité Publique</v>
      </c>
      <c r="Q255" t="str">
        <f t="shared" si="50"/>
        <v>36</v>
      </c>
      <c r="R255" t="str">
        <f t="shared" si="51"/>
        <v>Tarifs conventionnels assurance maladie</v>
      </c>
      <c r="U255" t="str">
        <f>"930030697"</f>
        <v>930030697</v>
      </c>
    </row>
    <row r="256" spans="1:21" x14ac:dyDescent="0.3">
      <c r="A256" t="str">
        <f>"660012691"</f>
        <v>660012691</v>
      </c>
      <c r="B256" t="str">
        <f>"130 030 158 00054"</f>
        <v>130 030 158 00054</v>
      </c>
      <c r="D256" t="str">
        <f>"CENTRE DE SANTE DE MA REGION MILLAS"</f>
        <v>CENTRE DE SANTE DE MA REGION MILLAS</v>
      </c>
      <c r="F256" t="str">
        <f>"8 RUE EAUX VIVES"</f>
        <v>8 RUE EAUX VIVES</v>
      </c>
      <c r="H256" t="str">
        <f>"66170"</f>
        <v>66170</v>
      </c>
      <c r="I256" t="str">
        <f>"MILLAS"</f>
        <v>MILLAS</v>
      </c>
      <c r="J256" t="str">
        <f>"04 68 57 11 54 "</f>
        <v xml:space="preserve">04 68 57 11 54 </v>
      </c>
      <c r="L256" s="1">
        <v>44817</v>
      </c>
      <c r="M256" t="str">
        <f t="shared" si="36"/>
        <v>124</v>
      </c>
      <c r="N256" t="str">
        <f t="shared" si="37"/>
        <v>Centre de Santé</v>
      </c>
      <c r="O256" t="str">
        <f>"04"</f>
        <v>04</v>
      </c>
      <c r="P256" t="str">
        <f>"Région"</f>
        <v>Région</v>
      </c>
      <c r="Q256" t="str">
        <f t="shared" si="50"/>
        <v>36</v>
      </c>
      <c r="R256" t="str">
        <f t="shared" si="51"/>
        <v>Tarifs conventionnels assurance maladie</v>
      </c>
      <c r="U256" t="str">
        <f>"310034392"</f>
        <v>310034392</v>
      </c>
    </row>
    <row r="257" spans="1:21" x14ac:dyDescent="0.3">
      <c r="A257" t="str">
        <f>"220025365"</f>
        <v>220025365</v>
      </c>
      <c r="B257" t="str">
        <f>"911 823 185 00010"</f>
        <v>911 823 185 00010</v>
      </c>
      <c r="D257" t="str">
        <f>"CDS MEDICAL LAMBALLE ARMOR"</f>
        <v>CDS MEDICAL LAMBALLE ARMOR</v>
      </c>
      <c r="F257" t="str">
        <f>"20 PLACE DU CHAMP DE FOIRE"</f>
        <v>20 PLACE DU CHAMP DE FOIRE</v>
      </c>
      <c r="H257" t="str">
        <f>"22400"</f>
        <v>22400</v>
      </c>
      <c r="I257" t="str">
        <f>"LAMBALLE ARMOR"</f>
        <v>LAMBALLE ARMOR</v>
      </c>
      <c r="J257" t="str">
        <f>"02 35 77 00 34 "</f>
        <v xml:space="preserve">02 35 77 00 34 </v>
      </c>
      <c r="L257" s="1">
        <v>44816</v>
      </c>
      <c r="M257" t="str">
        <f t="shared" si="36"/>
        <v>124</v>
      </c>
      <c r="N257" t="str">
        <f t="shared" si="37"/>
        <v>Centre de Santé</v>
      </c>
      <c r="O257" t="str">
        <f>"60"</f>
        <v>60</v>
      </c>
      <c r="P257" t="str">
        <f>"Association Loi 1901 non Reconnue d'Utilité Publique"</f>
        <v>Association Loi 1901 non Reconnue d'Utilité Publique</v>
      </c>
      <c r="Q257" t="str">
        <f t="shared" si="50"/>
        <v>36</v>
      </c>
      <c r="R257" t="str">
        <f t="shared" si="51"/>
        <v>Tarifs conventionnels assurance maladie</v>
      </c>
      <c r="U257" t="str">
        <f>"750070930"</f>
        <v>750070930</v>
      </c>
    </row>
    <row r="258" spans="1:21" x14ac:dyDescent="0.3">
      <c r="A258" t="str">
        <f>"310034384"</f>
        <v>310034384</v>
      </c>
      <c r="B258" t="str">
        <f>"911 073 609 00016"</f>
        <v>911 073 609 00016</v>
      </c>
      <c r="D258" t="str">
        <f>"CENTRE OPHTALMOLOGIQUE AFSOT"</f>
        <v>CENTRE OPHTALMOLOGIQUE AFSOT</v>
      </c>
      <c r="F258" t="str">
        <f>"109 AVENUE JULES JULIEN"</f>
        <v>109 AVENUE JULES JULIEN</v>
      </c>
      <c r="H258" t="str">
        <f>"31400"</f>
        <v>31400</v>
      </c>
      <c r="I258" t="str">
        <f>"TOULOUSE"</f>
        <v>TOULOUSE</v>
      </c>
      <c r="L258" s="1">
        <v>44816</v>
      </c>
      <c r="M258" t="str">
        <f t="shared" ref="M258:M321" si="52">"124"</f>
        <v>124</v>
      </c>
      <c r="N258" t="str">
        <f t="shared" ref="N258:N321" si="53">"Centre de Santé"</f>
        <v>Centre de Santé</v>
      </c>
      <c r="O258" t="str">
        <f>"60"</f>
        <v>60</v>
      </c>
      <c r="P258" t="str">
        <f>"Association Loi 1901 non Reconnue d'Utilité Publique"</f>
        <v>Association Loi 1901 non Reconnue d'Utilité Publique</v>
      </c>
      <c r="Q258" t="str">
        <f t="shared" si="50"/>
        <v>36</v>
      </c>
      <c r="R258" t="str">
        <f t="shared" si="51"/>
        <v>Tarifs conventionnels assurance maladie</v>
      </c>
      <c r="U258" t="str">
        <f>"310034376"</f>
        <v>310034376</v>
      </c>
    </row>
    <row r="259" spans="1:21" x14ac:dyDescent="0.3">
      <c r="A259" t="str">
        <f>"330063876"</f>
        <v>330063876</v>
      </c>
      <c r="B259" t="str">
        <f>"892 337 262 00026"</f>
        <v>892 337 262 00026</v>
      </c>
      <c r="D259" t="str">
        <f>"CDS DENTAIRE INFINIDENTS"</f>
        <v>CDS DENTAIRE INFINIDENTS</v>
      </c>
      <c r="F259" t="str">
        <f>"128 RUE DES GRAVIERES"</f>
        <v>128 RUE DES GRAVIERES</v>
      </c>
      <c r="H259" t="str">
        <f>"33310"</f>
        <v>33310</v>
      </c>
      <c r="I259" t="str">
        <f>"LORMONT"</f>
        <v>LORMONT</v>
      </c>
      <c r="J259" t="str">
        <f>"06 19 67 01 04 "</f>
        <v xml:space="preserve">06 19 67 01 04 </v>
      </c>
      <c r="L259" s="1">
        <v>44816</v>
      </c>
      <c r="M259" t="str">
        <f t="shared" si="52"/>
        <v>124</v>
      </c>
      <c r="N259" t="str">
        <f t="shared" si="53"/>
        <v>Centre de Santé</v>
      </c>
      <c r="O259" t="str">
        <f>"60"</f>
        <v>60</v>
      </c>
      <c r="P259" t="str">
        <f>"Association Loi 1901 non Reconnue d'Utilité Publique"</f>
        <v>Association Loi 1901 non Reconnue d'Utilité Publique</v>
      </c>
      <c r="Q259" t="str">
        <f t="shared" si="50"/>
        <v>36</v>
      </c>
      <c r="R259" t="str">
        <f t="shared" si="51"/>
        <v>Tarifs conventionnels assurance maladie</v>
      </c>
      <c r="U259" t="str">
        <f>"330063868"</f>
        <v>330063868</v>
      </c>
    </row>
    <row r="260" spans="1:21" x14ac:dyDescent="0.3">
      <c r="A260" t="str">
        <f>"330064627"</f>
        <v>330064627</v>
      </c>
      <c r="B260" t="str">
        <f>"900 686 700 00015"</f>
        <v>900 686 700 00015</v>
      </c>
      <c r="D260" t="str">
        <f>"CDS BORDEAUX LORMONT"</f>
        <v>CDS BORDEAUX LORMONT</v>
      </c>
      <c r="E260" t="str">
        <f>"CCIAL CARREFOUR - RN 10"</f>
        <v>CCIAL CARREFOUR - RN 10</v>
      </c>
      <c r="F260" t="str">
        <f>"AVENUE DE PARIS"</f>
        <v>AVENUE DE PARIS</v>
      </c>
      <c r="H260" t="str">
        <f>"33310"</f>
        <v>33310</v>
      </c>
      <c r="I260" t="str">
        <f>"LORMONT"</f>
        <v>LORMONT</v>
      </c>
      <c r="J260" t="str">
        <f>"01 56 62 00 00 "</f>
        <v xml:space="preserve">01 56 62 00 00 </v>
      </c>
      <c r="L260" s="1">
        <v>44816</v>
      </c>
      <c r="M260" t="str">
        <f t="shared" si="52"/>
        <v>124</v>
      </c>
      <c r="N260" t="str">
        <f t="shared" si="53"/>
        <v>Centre de Santé</v>
      </c>
      <c r="O260" t="str">
        <f>"60"</f>
        <v>60</v>
      </c>
      <c r="P260" t="str">
        <f>"Association Loi 1901 non Reconnue d'Utilité Publique"</f>
        <v>Association Loi 1901 non Reconnue d'Utilité Publique</v>
      </c>
      <c r="Q260" t="str">
        <f t="shared" si="50"/>
        <v>36</v>
      </c>
      <c r="R260" t="str">
        <f t="shared" si="51"/>
        <v>Tarifs conventionnels assurance maladie</v>
      </c>
      <c r="U260" t="str">
        <f>"330064619"</f>
        <v>330064619</v>
      </c>
    </row>
    <row r="261" spans="1:21" x14ac:dyDescent="0.3">
      <c r="A261" t="str">
        <f>"670021567"</f>
        <v>670021567</v>
      </c>
      <c r="B261" t="str">
        <f>"901 447 474 00015"</f>
        <v>901 447 474 00015</v>
      </c>
      <c r="D261" t="str">
        <f>"CDS DENTAIRE FAUTEUIL BLEU DEUX RIVES"</f>
        <v>CDS DENTAIRE FAUTEUIL BLEU DEUX RIVES</v>
      </c>
      <c r="F261" t="str">
        <f>"2 ALLEE DES CHUCHOTEMENTS"</f>
        <v>2 ALLEE DES CHUCHOTEMENTS</v>
      </c>
      <c r="H261" t="str">
        <f>"67000"</f>
        <v>67000</v>
      </c>
      <c r="I261" t="str">
        <f>"STRASBOURG"</f>
        <v>STRASBOURG</v>
      </c>
      <c r="J261" t="str">
        <f>"03 90 67 50 53 "</f>
        <v xml:space="preserve">03 90 67 50 53 </v>
      </c>
      <c r="L261" s="1">
        <v>44816</v>
      </c>
      <c r="M261" t="str">
        <f t="shared" si="52"/>
        <v>124</v>
      </c>
      <c r="N261" t="str">
        <f t="shared" si="53"/>
        <v>Centre de Santé</v>
      </c>
      <c r="O261" t="str">
        <f>"62"</f>
        <v>62</v>
      </c>
      <c r="P261" t="str">
        <f>"Association de Droit Local"</f>
        <v>Association de Droit Local</v>
      </c>
      <c r="Q261" t="str">
        <f t="shared" si="50"/>
        <v>36</v>
      </c>
      <c r="R261" t="str">
        <f t="shared" si="51"/>
        <v>Tarifs conventionnels assurance maladie</v>
      </c>
      <c r="U261" t="str">
        <f>"670021559"</f>
        <v>670021559</v>
      </c>
    </row>
    <row r="262" spans="1:21" x14ac:dyDescent="0.3">
      <c r="A262" t="str">
        <f>"760040097"</f>
        <v>760040097</v>
      </c>
      <c r="B262" t="str">
        <f>"911 591 485 00014"</f>
        <v>911 591 485 00014</v>
      </c>
      <c r="D262" t="str">
        <f>"CENTRE DE SANTE DENTAIRE ELBEUF"</f>
        <v>CENTRE DE SANTE DENTAIRE ELBEUF</v>
      </c>
      <c r="F262" t="str">
        <f>"90 RUE DES MARTYRS"</f>
        <v>90 RUE DES MARTYRS</v>
      </c>
      <c r="H262" t="str">
        <f>"76500"</f>
        <v>76500</v>
      </c>
      <c r="I262" t="str">
        <f>"ELBEUF"</f>
        <v>ELBEUF</v>
      </c>
      <c r="L262" s="1">
        <v>44816</v>
      </c>
      <c r="M262" t="str">
        <f t="shared" si="52"/>
        <v>124</v>
      </c>
      <c r="N262" t="str">
        <f t="shared" si="53"/>
        <v>Centre de Santé</v>
      </c>
      <c r="O262" t="str">
        <f>"60"</f>
        <v>60</v>
      </c>
      <c r="P262" t="str">
        <f>"Association Loi 1901 non Reconnue d'Utilité Publique"</f>
        <v>Association Loi 1901 non Reconnue d'Utilité Publique</v>
      </c>
      <c r="Q262" t="str">
        <f t="shared" si="50"/>
        <v>36</v>
      </c>
      <c r="R262" t="str">
        <f t="shared" si="51"/>
        <v>Tarifs conventionnels assurance maladie</v>
      </c>
      <c r="U262" t="str">
        <f>"760040089"</f>
        <v>760040089</v>
      </c>
    </row>
    <row r="263" spans="1:21" x14ac:dyDescent="0.3">
      <c r="A263" t="str">
        <f>"780028338"</f>
        <v>780028338</v>
      </c>
      <c r="B263" t="str">
        <f>"894 481 878 00029"</f>
        <v>894 481 878 00029</v>
      </c>
      <c r="D263" t="str">
        <f>"CDS OPHTALMOLOGIQUE ESPACE LES MUREAUX"</f>
        <v>CDS OPHTALMOLOGIQUE ESPACE LES MUREAUX</v>
      </c>
      <c r="E263" t="str">
        <f>"CENTRE COMMERCIAL ESPACE"</f>
        <v>CENTRE COMMERCIAL ESPACE</v>
      </c>
      <c r="F263" t="str">
        <f>"222 AVENUE PAUL RAOULT"</f>
        <v>222 AVENUE PAUL RAOULT</v>
      </c>
      <c r="H263" t="str">
        <f>"78130"</f>
        <v>78130</v>
      </c>
      <c r="I263" t="str">
        <f>"LES MUREAUX"</f>
        <v>LES MUREAUX</v>
      </c>
      <c r="J263" t="str">
        <f>"01 85 79 99 97 "</f>
        <v xml:space="preserve">01 85 79 99 97 </v>
      </c>
      <c r="L263" s="1">
        <v>44816</v>
      </c>
      <c r="M263" t="str">
        <f t="shared" si="52"/>
        <v>124</v>
      </c>
      <c r="N263" t="str">
        <f t="shared" si="53"/>
        <v>Centre de Santé</v>
      </c>
      <c r="O263" t="str">
        <f>"60"</f>
        <v>60</v>
      </c>
      <c r="P263" t="str">
        <f>"Association Loi 1901 non Reconnue d'Utilité Publique"</f>
        <v>Association Loi 1901 non Reconnue d'Utilité Publique</v>
      </c>
      <c r="Q263" t="str">
        <f t="shared" si="50"/>
        <v>36</v>
      </c>
      <c r="R263" t="str">
        <f t="shared" si="51"/>
        <v>Tarifs conventionnels assurance maladie</v>
      </c>
      <c r="U263" t="str">
        <f>"780029351"</f>
        <v>780029351</v>
      </c>
    </row>
    <row r="264" spans="1:21" x14ac:dyDescent="0.3">
      <c r="A264" t="str">
        <f>"630015808"</f>
        <v>630015808</v>
      </c>
      <c r="B264" t="str">
        <f>"917 616 393 00026"</f>
        <v>917 616 393 00026</v>
      </c>
      <c r="D264" t="str">
        <f>"CENTRE DE SANTE DENTAIRE DE LA DORE"</f>
        <v>CENTRE DE SANTE DENTAIRE DE LA DORE</v>
      </c>
      <c r="F264" t="str">
        <f>"45 AVENUE GEORGES CLEMENCEAU"</f>
        <v>45 AVENUE GEORGES CLEMENCEAU</v>
      </c>
      <c r="H264" t="str">
        <f>"63600"</f>
        <v>63600</v>
      </c>
      <c r="I264" t="str">
        <f>"AMBERT"</f>
        <v>AMBERT</v>
      </c>
      <c r="J264" t="str">
        <f>"04 73 82 18 94 "</f>
        <v xml:space="preserve">04 73 82 18 94 </v>
      </c>
      <c r="L264" s="1">
        <v>44813</v>
      </c>
      <c r="M264" t="str">
        <f t="shared" si="52"/>
        <v>124</v>
      </c>
      <c r="N264" t="str">
        <f t="shared" si="53"/>
        <v>Centre de Santé</v>
      </c>
      <c r="O264" t="str">
        <f>"60"</f>
        <v>60</v>
      </c>
      <c r="P264" t="str">
        <f>"Association Loi 1901 non Reconnue d'Utilité Publique"</f>
        <v>Association Loi 1901 non Reconnue d'Utilité Publique</v>
      </c>
      <c r="Q264" t="str">
        <f t="shared" si="50"/>
        <v>36</v>
      </c>
      <c r="R264" t="str">
        <f t="shared" si="51"/>
        <v>Tarifs conventionnels assurance maladie</v>
      </c>
      <c r="U264" t="str">
        <f>"690051875"</f>
        <v>690051875</v>
      </c>
    </row>
    <row r="265" spans="1:21" x14ac:dyDescent="0.3">
      <c r="A265" t="str">
        <f>"930032362"</f>
        <v>930032362</v>
      </c>
      <c r="B265" t="str">
        <f>"917 709 453 00018"</f>
        <v>917 709 453 00018</v>
      </c>
      <c r="D265" t="str">
        <f>"CDS OPTHA VISION 26"</f>
        <v>CDS OPTHA VISION 26</v>
      </c>
      <c r="F265" t="str">
        <f>"46 BOULEVARD ROBERT BALLANGER"</f>
        <v>46 BOULEVARD ROBERT BALLANGER</v>
      </c>
      <c r="H265" t="str">
        <f>"93420"</f>
        <v>93420</v>
      </c>
      <c r="I265" t="str">
        <f>"VILLEPINTE"</f>
        <v>VILLEPINTE</v>
      </c>
      <c r="J265" t="str">
        <f>"06 58 65 10 47 "</f>
        <v xml:space="preserve">06 58 65 10 47 </v>
      </c>
      <c r="L265" s="1">
        <v>44813</v>
      </c>
      <c r="M265" t="str">
        <f t="shared" si="52"/>
        <v>124</v>
      </c>
      <c r="N265" t="str">
        <f t="shared" si="53"/>
        <v>Centre de Santé</v>
      </c>
      <c r="O265" t="str">
        <f>"60"</f>
        <v>60</v>
      </c>
      <c r="P265" t="str">
        <f>"Association Loi 1901 non Reconnue d'Utilité Publique"</f>
        <v>Association Loi 1901 non Reconnue d'Utilité Publique</v>
      </c>
      <c r="Q265" t="str">
        <f t="shared" si="50"/>
        <v>36</v>
      </c>
      <c r="R265" t="str">
        <f t="shared" si="51"/>
        <v>Tarifs conventionnels assurance maladie</v>
      </c>
      <c r="U265" t="str">
        <f>"930032354"</f>
        <v>930032354</v>
      </c>
    </row>
    <row r="266" spans="1:21" x14ac:dyDescent="0.3">
      <c r="A266" t="str">
        <f>"290037555"</f>
        <v>290037555</v>
      </c>
      <c r="D266" t="str">
        <f>"CDS DU MOROS"</f>
        <v>CDS DU MOROS</v>
      </c>
      <c r="F266" t="str">
        <f>"3 RUE DES SARDINIERS"</f>
        <v>3 RUE DES SARDINIERS</v>
      </c>
      <c r="H266" t="str">
        <f>"29900"</f>
        <v>29900</v>
      </c>
      <c r="I266" t="str">
        <f>"CONCARNEAU"</f>
        <v>CONCARNEAU</v>
      </c>
      <c r="J266" t="str">
        <f>"02 98 70 27 03 "</f>
        <v xml:space="preserve">02 98 70 27 03 </v>
      </c>
      <c r="K266" t="str">
        <f>"02 98 55 70 44"</f>
        <v>02 98 55 70 44</v>
      </c>
      <c r="L266" s="1">
        <v>44812</v>
      </c>
      <c r="M266" t="str">
        <f t="shared" si="52"/>
        <v>124</v>
      </c>
      <c r="N266" t="str">
        <f t="shared" si="53"/>
        <v>Centre de Santé</v>
      </c>
      <c r="O266" t="str">
        <f>"63"</f>
        <v>63</v>
      </c>
      <c r="P266" t="str">
        <f>"Fondation"</f>
        <v>Fondation</v>
      </c>
      <c r="Q266" t="str">
        <f t="shared" si="50"/>
        <v>36</v>
      </c>
      <c r="R266" t="str">
        <f t="shared" si="51"/>
        <v>Tarifs conventionnels assurance maladie</v>
      </c>
      <c r="U266" t="str">
        <f>"290007459"</f>
        <v>290007459</v>
      </c>
    </row>
    <row r="267" spans="1:21" x14ac:dyDescent="0.3">
      <c r="A267" t="str">
        <f>"920039641"</f>
        <v>920039641</v>
      </c>
      <c r="B267" t="str">
        <f>"913 849 337 00013"</f>
        <v>913 849 337 00013</v>
      </c>
      <c r="D267" t="str">
        <f>"CDS MEDICO DENTAIRE GARE DE MEUDON"</f>
        <v>CDS MEDICO DENTAIRE GARE DE MEUDON</v>
      </c>
      <c r="F267" t="str">
        <f>"41 AVENUE GALLIENI"</f>
        <v>41 AVENUE GALLIENI</v>
      </c>
      <c r="H267" t="str">
        <f>"92190"</f>
        <v>92190</v>
      </c>
      <c r="I267" t="str">
        <f>"MEUDON"</f>
        <v>MEUDON</v>
      </c>
      <c r="J267" t="str">
        <f>"07 61 14 35 21 "</f>
        <v xml:space="preserve">07 61 14 35 21 </v>
      </c>
      <c r="L267" s="1">
        <v>44810</v>
      </c>
      <c r="M267" t="str">
        <f t="shared" si="52"/>
        <v>124</v>
      </c>
      <c r="N267" t="str">
        <f t="shared" si="53"/>
        <v>Centre de Santé</v>
      </c>
      <c r="O267" t="str">
        <f>"60"</f>
        <v>60</v>
      </c>
      <c r="P267" t="str">
        <f>"Association Loi 1901 non Reconnue d'Utilité Publique"</f>
        <v>Association Loi 1901 non Reconnue d'Utilité Publique</v>
      </c>
      <c r="Q267" t="str">
        <f t="shared" si="50"/>
        <v>36</v>
      </c>
      <c r="R267" t="str">
        <f t="shared" si="51"/>
        <v>Tarifs conventionnels assurance maladie</v>
      </c>
      <c r="U267" t="str">
        <f>"920039633"</f>
        <v>920039633</v>
      </c>
    </row>
    <row r="268" spans="1:21" x14ac:dyDescent="0.3">
      <c r="A268" t="str">
        <f>"290038728"</f>
        <v>290038728</v>
      </c>
      <c r="B268" t="str">
        <f>"913 127 502 00015"</f>
        <v>913 127 502 00015</v>
      </c>
      <c r="D268" t="str">
        <f>"CDS KERSANTE BREST GOUESNOU"</f>
        <v>CDS KERSANTE BREST GOUESNOU</v>
      </c>
      <c r="F268" t="str">
        <f>"505 RUE PROSPER GARNOT"</f>
        <v>505 RUE PROSPER GARNOT</v>
      </c>
      <c r="H268" t="str">
        <f>"29850"</f>
        <v>29850</v>
      </c>
      <c r="I268" t="str">
        <f>"GOUESNOU"</f>
        <v>GOUESNOU</v>
      </c>
      <c r="J268" t="str">
        <f>"02 57 52 56 26 "</f>
        <v xml:space="preserve">02 57 52 56 26 </v>
      </c>
      <c r="L268" s="1">
        <v>44809</v>
      </c>
      <c r="M268" t="str">
        <f t="shared" si="52"/>
        <v>124</v>
      </c>
      <c r="N268" t="str">
        <f t="shared" si="53"/>
        <v>Centre de Santé</v>
      </c>
      <c r="O268" t="str">
        <f>"60"</f>
        <v>60</v>
      </c>
      <c r="P268" t="str">
        <f>"Association Loi 1901 non Reconnue d'Utilité Publique"</f>
        <v>Association Loi 1901 non Reconnue d'Utilité Publique</v>
      </c>
      <c r="Q268" t="str">
        <f t="shared" si="50"/>
        <v>36</v>
      </c>
      <c r="R268" t="str">
        <f t="shared" si="51"/>
        <v>Tarifs conventionnels assurance maladie</v>
      </c>
      <c r="U268" t="str">
        <f>"750070948"</f>
        <v>750070948</v>
      </c>
    </row>
    <row r="269" spans="1:21" x14ac:dyDescent="0.3">
      <c r="A269" t="str">
        <f>"330064601"</f>
        <v>330064601</v>
      </c>
      <c r="B269" t="str">
        <f>"901 380 139 00021"</f>
        <v>901 380 139 00021</v>
      </c>
      <c r="D269" t="str">
        <f>"CDS MEDIKSANTE BORDEAUX"</f>
        <v>CDS MEDIKSANTE BORDEAUX</v>
      </c>
      <c r="F269" t="str">
        <f>"1 RUE TUSTAL"</f>
        <v>1 RUE TUSTAL</v>
      </c>
      <c r="H269" t="str">
        <f>"33000"</f>
        <v>33000</v>
      </c>
      <c r="I269" t="str">
        <f>"BORDEAUX"</f>
        <v>BORDEAUX</v>
      </c>
      <c r="J269" t="str">
        <f>"07 52 57 50 10 "</f>
        <v xml:space="preserve">07 52 57 50 10 </v>
      </c>
      <c r="L269" s="1">
        <v>44809</v>
      </c>
      <c r="M269" t="str">
        <f t="shared" si="52"/>
        <v>124</v>
      </c>
      <c r="N269" t="str">
        <f t="shared" si="53"/>
        <v>Centre de Santé</v>
      </c>
      <c r="O269" t="str">
        <f>"60"</f>
        <v>60</v>
      </c>
      <c r="P269" t="str">
        <f>"Association Loi 1901 non Reconnue d'Utilité Publique"</f>
        <v>Association Loi 1901 non Reconnue d'Utilité Publique</v>
      </c>
      <c r="Q269" t="str">
        <f t="shared" si="50"/>
        <v>36</v>
      </c>
      <c r="R269" t="str">
        <f t="shared" si="51"/>
        <v>Tarifs conventionnels assurance maladie</v>
      </c>
      <c r="U269" t="str">
        <f>"330064593"</f>
        <v>330064593</v>
      </c>
    </row>
    <row r="270" spans="1:21" x14ac:dyDescent="0.3">
      <c r="A270" t="str">
        <f>"540026796"</f>
        <v>540026796</v>
      </c>
      <c r="B270" t="str">
        <f>"775 615 537 00948"</f>
        <v>775 615 537 00948</v>
      </c>
      <c r="D270" t="str">
        <f>"CENTRE DE SANTE OPHTALMOLOGIQUE UTML"</f>
        <v>CENTRE DE SANTE OPHTALMOLOGIQUE UTML</v>
      </c>
      <c r="F270" t="str">
        <f>"4 ROUTE DE MIRECOURT"</f>
        <v>4 ROUTE DE MIRECOURT</v>
      </c>
      <c r="H270" t="str">
        <f>"54500"</f>
        <v>54500</v>
      </c>
      <c r="I270" t="str">
        <f>"VANDOEUVRE LES NANCY"</f>
        <v>VANDOEUVRE LES NANCY</v>
      </c>
      <c r="J270" t="str">
        <f>"03 56 66 10 30 "</f>
        <v xml:space="preserve">03 56 66 10 30 </v>
      </c>
      <c r="L270" s="1">
        <v>44809</v>
      </c>
      <c r="M270" t="str">
        <f t="shared" si="52"/>
        <v>124</v>
      </c>
      <c r="N270" t="str">
        <f t="shared" si="53"/>
        <v>Centre de Santé</v>
      </c>
      <c r="O270" t="str">
        <f>"47"</f>
        <v>47</v>
      </c>
      <c r="P270" t="str">
        <f>"Société Mutualiste"</f>
        <v>Société Mutualiste</v>
      </c>
      <c r="Q270" t="str">
        <f t="shared" si="50"/>
        <v>36</v>
      </c>
      <c r="R270" t="str">
        <f t="shared" si="51"/>
        <v>Tarifs conventionnels assurance maladie</v>
      </c>
      <c r="U270" t="str">
        <f>"540013042"</f>
        <v>540013042</v>
      </c>
    </row>
    <row r="271" spans="1:21" x14ac:dyDescent="0.3">
      <c r="A271" t="str">
        <f>"560030843"</f>
        <v>560030843</v>
      </c>
      <c r="D271" t="str">
        <f>"CENTRE DENTAIRE ABER DENT"</f>
        <v>CENTRE DENTAIRE ABER DENT</v>
      </c>
      <c r="F271" t="str">
        <f>"16 ROUTE DE PLUMERGAT"</f>
        <v>16 ROUTE DE PLUMERGAT</v>
      </c>
      <c r="H271" t="str">
        <f>"56390"</f>
        <v>56390</v>
      </c>
      <c r="I271" t="str">
        <f>"GRAND CHAMP"</f>
        <v>GRAND CHAMP</v>
      </c>
      <c r="J271" t="str">
        <f>"02 97 66 71 70 "</f>
        <v xml:space="preserve">02 97 66 71 70 </v>
      </c>
      <c r="L271" s="1">
        <v>44809</v>
      </c>
      <c r="M271" t="str">
        <f t="shared" si="52"/>
        <v>124</v>
      </c>
      <c r="N271" t="str">
        <f t="shared" si="53"/>
        <v>Centre de Santé</v>
      </c>
      <c r="O271" t="str">
        <f>"60"</f>
        <v>60</v>
      </c>
      <c r="P271" t="str">
        <f>"Association Loi 1901 non Reconnue d'Utilité Publique"</f>
        <v>Association Loi 1901 non Reconnue d'Utilité Publique</v>
      </c>
      <c r="Q271" t="str">
        <f t="shared" si="50"/>
        <v>36</v>
      </c>
      <c r="R271" t="str">
        <f t="shared" si="51"/>
        <v>Tarifs conventionnels assurance maladie</v>
      </c>
      <c r="U271" t="str">
        <f>"440059533"</f>
        <v>440059533</v>
      </c>
    </row>
    <row r="272" spans="1:21" x14ac:dyDescent="0.3">
      <c r="A272" t="str">
        <f>"680023264"</f>
        <v>680023264</v>
      </c>
      <c r="B272" t="str">
        <f>"910 282 656 00016"</f>
        <v>910 282 656 00016</v>
      </c>
      <c r="D272" t="str">
        <f>"CENTRE DE SANTE ACCÈS VISION COLMAR"</f>
        <v>CENTRE DE SANTE ACCÈS VISION COLMAR</v>
      </c>
      <c r="F272" t="str">
        <f>"43 RUE VAUBAN"</f>
        <v>43 RUE VAUBAN</v>
      </c>
      <c r="H272" t="str">
        <f>"68000"</f>
        <v>68000</v>
      </c>
      <c r="I272" t="str">
        <f>"COLMAR"</f>
        <v>COLMAR</v>
      </c>
      <c r="J272" t="str">
        <f>"03 67 10 30 31 "</f>
        <v xml:space="preserve">03 67 10 30 31 </v>
      </c>
      <c r="L272" s="1">
        <v>44809</v>
      </c>
      <c r="M272" t="str">
        <f t="shared" si="52"/>
        <v>124</v>
      </c>
      <c r="N272" t="str">
        <f t="shared" si="53"/>
        <v>Centre de Santé</v>
      </c>
      <c r="O272" t="str">
        <f>"62"</f>
        <v>62</v>
      </c>
      <c r="P272" t="str">
        <f>"Association de Droit Local"</f>
        <v>Association de Droit Local</v>
      </c>
      <c r="Q272" t="str">
        <f t="shared" si="50"/>
        <v>36</v>
      </c>
      <c r="R272" t="str">
        <f t="shared" si="51"/>
        <v>Tarifs conventionnels assurance maladie</v>
      </c>
      <c r="U272" t="str">
        <f>"680023256"</f>
        <v>680023256</v>
      </c>
    </row>
    <row r="273" spans="1:21" x14ac:dyDescent="0.3">
      <c r="A273" t="str">
        <f>"770026417"</f>
        <v>770026417</v>
      </c>
      <c r="B273" t="str">
        <f>"911 702 355 00015"</f>
        <v>911 702 355 00015</v>
      </c>
      <c r="D273" t="str">
        <f>"CDS DENTAIRE DE MELUN"</f>
        <v>CDS DENTAIRE DE MELUN</v>
      </c>
      <c r="F273" t="str">
        <f>"1 RUE CAMILLE FLAMMARION"</f>
        <v>1 RUE CAMILLE FLAMMARION</v>
      </c>
      <c r="H273" t="str">
        <f>"77000"</f>
        <v>77000</v>
      </c>
      <c r="I273" t="str">
        <f>"MELUN"</f>
        <v>MELUN</v>
      </c>
      <c r="J273" t="str">
        <f>"01 85 86 03 20 "</f>
        <v xml:space="preserve">01 85 86 03 20 </v>
      </c>
      <c r="L273" s="1">
        <v>44809</v>
      </c>
      <c r="M273" t="str">
        <f t="shared" si="52"/>
        <v>124</v>
      </c>
      <c r="N273" t="str">
        <f t="shared" si="53"/>
        <v>Centre de Santé</v>
      </c>
      <c r="O273" t="str">
        <f>"60"</f>
        <v>60</v>
      </c>
      <c r="P273" t="str">
        <f>"Association Loi 1901 non Reconnue d'Utilité Publique"</f>
        <v>Association Loi 1901 non Reconnue d'Utilité Publique</v>
      </c>
      <c r="Q273" t="str">
        <f t="shared" si="50"/>
        <v>36</v>
      </c>
      <c r="R273" t="str">
        <f t="shared" si="51"/>
        <v>Tarifs conventionnels assurance maladie</v>
      </c>
      <c r="U273" t="str">
        <f>"770026409"</f>
        <v>770026409</v>
      </c>
    </row>
    <row r="274" spans="1:21" x14ac:dyDescent="0.3">
      <c r="A274" t="str">
        <f>"910025881"</f>
        <v>910025881</v>
      </c>
      <c r="B274" t="str">
        <f>"900 488 693 00012"</f>
        <v>900 488 693 00012</v>
      </c>
      <c r="D274" t="str">
        <f>"CDS MEDICAL ET DENTAIRE ULIS 2"</f>
        <v>CDS MEDICAL ET DENTAIRE ULIS 2</v>
      </c>
      <c r="F274" t="str">
        <f>"AVENUE DE L AUBRAC"</f>
        <v>AVENUE DE L AUBRAC</v>
      </c>
      <c r="G274" t="str">
        <f>"CCIAL LES ULIS 2"</f>
        <v>CCIAL LES ULIS 2</v>
      </c>
      <c r="H274" t="str">
        <f>"91940"</f>
        <v>91940</v>
      </c>
      <c r="I274" t="str">
        <f>"LES ULIS"</f>
        <v>LES ULIS</v>
      </c>
      <c r="J274" t="str">
        <f>"06 27 34 83 55 "</f>
        <v xml:space="preserve">06 27 34 83 55 </v>
      </c>
      <c r="L274" s="1">
        <v>44809</v>
      </c>
      <c r="M274" t="str">
        <f t="shared" si="52"/>
        <v>124</v>
      </c>
      <c r="N274" t="str">
        <f t="shared" si="53"/>
        <v>Centre de Santé</v>
      </c>
      <c r="O274" t="str">
        <f>"60"</f>
        <v>60</v>
      </c>
      <c r="P274" t="str">
        <f>"Association Loi 1901 non Reconnue d'Utilité Publique"</f>
        <v>Association Loi 1901 non Reconnue d'Utilité Publique</v>
      </c>
      <c r="Q274" t="str">
        <f t="shared" si="50"/>
        <v>36</v>
      </c>
      <c r="R274" t="str">
        <f t="shared" si="51"/>
        <v>Tarifs conventionnels assurance maladie</v>
      </c>
      <c r="U274" t="str">
        <f>"910025873"</f>
        <v>910025873</v>
      </c>
    </row>
    <row r="275" spans="1:21" x14ac:dyDescent="0.3">
      <c r="A275" t="str">
        <f>"940029598"</f>
        <v>940029598</v>
      </c>
      <c r="B275" t="str">
        <f>"911 351 500 00010"</f>
        <v>911 351 500 00010</v>
      </c>
      <c r="D275" t="str">
        <f>"CDS MADELEINE BRES"</f>
        <v>CDS MADELEINE BRES</v>
      </c>
      <c r="F275" t="str">
        <f>"16 PLACE JEAN JAURES"</f>
        <v>16 PLACE JEAN JAURES</v>
      </c>
      <c r="H275" t="str">
        <f>"94270"</f>
        <v>94270</v>
      </c>
      <c r="I275" t="str">
        <f>"LE KREMLIN BICETRE"</f>
        <v>LE KREMLIN BICETRE</v>
      </c>
      <c r="J275" t="str">
        <f>"01 80 91 80 00 "</f>
        <v xml:space="preserve">01 80 91 80 00 </v>
      </c>
      <c r="L275" s="1">
        <v>44809</v>
      </c>
      <c r="M275" t="str">
        <f t="shared" si="52"/>
        <v>124</v>
      </c>
      <c r="N275" t="str">
        <f t="shared" si="53"/>
        <v>Centre de Santé</v>
      </c>
      <c r="O275" t="str">
        <f>"75"</f>
        <v>75</v>
      </c>
      <c r="P275" t="str">
        <f>"Autre Société"</f>
        <v>Autre Société</v>
      </c>
      <c r="Q275" t="str">
        <f t="shared" si="50"/>
        <v>36</v>
      </c>
      <c r="R275" t="str">
        <f t="shared" si="51"/>
        <v>Tarifs conventionnels assurance maladie</v>
      </c>
      <c r="U275" t="str">
        <f>"940029580"</f>
        <v>940029580</v>
      </c>
    </row>
    <row r="276" spans="1:21" x14ac:dyDescent="0.3">
      <c r="A276" t="str">
        <f>"830026571"</f>
        <v>830026571</v>
      </c>
      <c r="B276" t="str">
        <f>"905 376 299 00012"</f>
        <v>905 376 299 00012</v>
      </c>
      <c r="D276" t="str">
        <f>"CDS DENTAIRE SEYNE SUR MER"</f>
        <v>CDS DENTAIRE SEYNE SUR MER</v>
      </c>
      <c r="F276" t="str">
        <f>"223 ALLEE MAURICE BLANC"</f>
        <v>223 ALLEE MAURICE BLANC</v>
      </c>
      <c r="H276" t="str">
        <f>"83500"</f>
        <v>83500</v>
      </c>
      <c r="I276" t="str">
        <f>"LA SEYNE SUR MER"</f>
        <v>LA SEYNE SUR MER</v>
      </c>
      <c r="J276" t="str">
        <f>"06 79 57 51 66 "</f>
        <v xml:space="preserve">06 79 57 51 66 </v>
      </c>
      <c r="L276" s="1">
        <v>44806</v>
      </c>
      <c r="M276" t="str">
        <f t="shared" si="52"/>
        <v>124</v>
      </c>
      <c r="N276" t="str">
        <f t="shared" si="53"/>
        <v>Centre de Santé</v>
      </c>
      <c r="O276" t="str">
        <f>"60"</f>
        <v>60</v>
      </c>
      <c r="P276" t="str">
        <f>"Association Loi 1901 non Reconnue d'Utilité Publique"</f>
        <v>Association Loi 1901 non Reconnue d'Utilité Publique</v>
      </c>
      <c r="Q276" t="str">
        <f t="shared" si="50"/>
        <v>36</v>
      </c>
      <c r="R276" t="str">
        <f t="shared" si="51"/>
        <v>Tarifs conventionnels assurance maladie</v>
      </c>
      <c r="U276" t="str">
        <f>"830026563"</f>
        <v>830026563</v>
      </c>
    </row>
    <row r="277" spans="1:21" x14ac:dyDescent="0.3">
      <c r="A277" t="str">
        <f>"930032388"</f>
        <v>930032388</v>
      </c>
      <c r="B277" t="str">
        <f>"904 472 834 00020"</f>
        <v>904 472 834 00020</v>
      </c>
      <c r="D277" t="str">
        <f>"CDS MEDICO DENTAIRE PANTIN"</f>
        <v>CDS MEDICO DENTAIRE PANTIN</v>
      </c>
      <c r="F277" t="str">
        <f>"190 AVENUE JEAN LOLIVE"</f>
        <v>190 AVENUE JEAN LOLIVE</v>
      </c>
      <c r="H277" t="str">
        <f>"93500"</f>
        <v>93500</v>
      </c>
      <c r="I277" t="str">
        <f>"PANTIN"</f>
        <v>PANTIN</v>
      </c>
      <c r="J277" t="str">
        <f>"06 10 22 72 01 "</f>
        <v xml:space="preserve">06 10 22 72 01 </v>
      </c>
      <c r="L277" s="1">
        <v>44806</v>
      </c>
      <c r="M277" t="str">
        <f t="shared" si="52"/>
        <v>124</v>
      </c>
      <c r="N277" t="str">
        <f t="shared" si="53"/>
        <v>Centre de Santé</v>
      </c>
      <c r="O277" t="str">
        <f>"60"</f>
        <v>60</v>
      </c>
      <c r="P277" t="str">
        <f>"Association Loi 1901 non Reconnue d'Utilité Publique"</f>
        <v>Association Loi 1901 non Reconnue d'Utilité Publique</v>
      </c>
      <c r="Q277" t="str">
        <f t="shared" si="50"/>
        <v>36</v>
      </c>
      <c r="R277" t="str">
        <f t="shared" si="51"/>
        <v>Tarifs conventionnels assurance maladie</v>
      </c>
      <c r="U277" t="str">
        <f>"930032370"</f>
        <v>930032370</v>
      </c>
    </row>
    <row r="278" spans="1:21" x14ac:dyDescent="0.3">
      <c r="A278" t="str">
        <f>"420017741"</f>
        <v>420017741</v>
      </c>
      <c r="D278" t="str">
        <f>"CENTRE DE SANTE LOUNIS BOUANANI"</f>
        <v>CENTRE DE SANTE LOUNIS BOUANANI</v>
      </c>
      <c r="F278" t="str">
        <f>"33 PLACE BOBBY SANDS"</f>
        <v>33 PLACE BOBBY SANDS</v>
      </c>
      <c r="H278" t="str">
        <f>"42000"</f>
        <v>42000</v>
      </c>
      <c r="I278" t="str">
        <f>"ST ETIENNE"</f>
        <v>ST ETIENNE</v>
      </c>
      <c r="J278" t="str">
        <f>"04 77 12 53 90 "</f>
        <v xml:space="preserve">04 77 12 53 90 </v>
      </c>
      <c r="L278" s="1">
        <v>44805</v>
      </c>
      <c r="M278" t="str">
        <f t="shared" si="52"/>
        <v>124</v>
      </c>
      <c r="N278" t="str">
        <f t="shared" si="53"/>
        <v>Centre de Santé</v>
      </c>
      <c r="O278" t="str">
        <f>"60"</f>
        <v>60</v>
      </c>
      <c r="P278" t="str">
        <f>"Association Loi 1901 non Reconnue d'Utilité Publique"</f>
        <v>Association Loi 1901 non Reconnue d'Utilité Publique</v>
      </c>
      <c r="Q278" t="str">
        <f t="shared" si="50"/>
        <v>36</v>
      </c>
      <c r="R278" t="str">
        <f t="shared" si="51"/>
        <v>Tarifs conventionnels assurance maladie</v>
      </c>
      <c r="U278" t="str">
        <f>"420016818"</f>
        <v>420016818</v>
      </c>
    </row>
    <row r="279" spans="1:21" x14ac:dyDescent="0.3">
      <c r="A279" t="str">
        <f>"420017816"</f>
        <v>420017816</v>
      </c>
      <c r="B279" t="str">
        <f>"912 008 273 00027"</f>
        <v>912 008 273 00027</v>
      </c>
      <c r="D279" t="str">
        <f>"CENTRE DE SANTE DENTAIRE FAMILY SMILE"</f>
        <v>CENTRE DE SANTE DENTAIRE FAMILY SMILE</v>
      </c>
      <c r="F279" t="str">
        <f>"13 COURS DU 8 MAI 1945"</f>
        <v>13 COURS DU 8 MAI 1945</v>
      </c>
      <c r="H279" t="str">
        <f>"42800"</f>
        <v>42800</v>
      </c>
      <c r="I279" t="str">
        <f>"RIVE DE GIER"</f>
        <v>RIVE DE GIER</v>
      </c>
      <c r="L279" s="1">
        <v>44805</v>
      </c>
      <c r="M279" t="str">
        <f t="shared" si="52"/>
        <v>124</v>
      </c>
      <c r="N279" t="str">
        <f t="shared" si="53"/>
        <v>Centre de Santé</v>
      </c>
      <c r="O279" t="str">
        <f>"60"</f>
        <v>60</v>
      </c>
      <c r="P279" t="str">
        <f>"Association Loi 1901 non Reconnue d'Utilité Publique"</f>
        <v>Association Loi 1901 non Reconnue d'Utilité Publique</v>
      </c>
      <c r="Q279" t="str">
        <f t="shared" si="50"/>
        <v>36</v>
      </c>
      <c r="R279" t="str">
        <f t="shared" si="51"/>
        <v>Tarifs conventionnels assurance maladie</v>
      </c>
      <c r="U279" t="str">
        <f>"420017808"</f>
        <v>420017808</v>
      </c>
    </row>
    <row r="280" spans="1:21" x14ac:dyDescent="0.3">
      <c r="A280" t="str">
        <f>"450023676"</f>
        <v>450023676</v>
      </c>
      <c r="B280" t="str">
        <f>"130 026 792 00015"</f>
        <v>130 026 792 00015</v>
      </c>
      <c r="D280" t="str">
        <f>"CENTRE DE SANTE PATAY"</f>
        <v>CENTRE DE SANTE PATAY</v>
      </c>
      <c r="F280" t="str">
        <f>"1 RUE DU DR PIERRE LEGRIS"</f>
        <v>1 RUE DU DR PIERRE LEGRIS</v>
      </c>
      <c r="H280" t="str">
        <f>"45310"</f>
        <v>45310</v>
      </c>
      <c r="I280" t="str">
        <f>"PATAY"</f>
        <v>PATAY</v>
      </c>
      <c r="L280" s="1">
        <v>44805</v>
      </c>
      <c r="M280" t="str">
        <f t="shared" si="52"/>
        <v>124</v>
      </c>
      <c r="N280" t="str">
        <f t="shared" si="53"/>
        <v>Centre de Santé</v>
      </c>
      <c r="O280" t="str">
        <f>"28"</f>
        <v>28</v>
      </c>
      <c r="P280" t="str">
        <f>"Groupement d'Intérêt Public (G.I.P.)"</f>
        <v>Groupement d'Intérêt Public (G.I.P.)</v>
      </c>
      <c r="Q280" t="str">
        <f>"99"</f>
        <v>99</v>
      </c>
      <c r="R280" t="str">
        <f>"Indéterminé"</f>
        <v>Indéterminé</v>
      </c>
      <c r="U280" t="str">
        <f>"450022801"</f>
        <v>450022801</v>
      </c>
    </row>
    <row r="281" spans="1:21" x14ac:dyDescent="0.3">
      <c r="A281" t="str">
        <f>"690051552"</f>
        <v>690051552</v>
      </c>
      <c r="D281" t="str">
        <f>"CENTRE DE SANTE DENTAL CARE"</f>
        <v>CENTRE DE SANTE DENTAL CARE</v>
      </c>
      <c r="F281" t="str">
        <f>"1 RUE DE LA REPUBLIQUE"</f>
        <v>1 RUE DE LA REPUBLIQUE</v>
      </c>
      <c r="H281" t="str">
        <f>"69330"</f>
        <v>69330</v>
      </c>
      <c r="I281" t="str">
        <f>"MEYZIEU"</f>
        <v>MEYZIEU</v>
      </c>
      <c r="J281" t="str">
        <f>"04 72 69 13 52 "</f>
        <v xml:space="preserve">04 72 69 13 52 </v>
      </c>
      <c r="L281" s="1">
        <v>44805</v>
      </c>
      <c r="M281" t="str">
        <f t="shared" si="52"/>
        <v>124</v>
      </c>
      <c r="N281" t="str">
        <f t="shared" si="53"/>
        <v>Centre de Santé</v>
      </c>
      <c r="O281" t="str">
        <f t="shared" ref="O281:O291" si="54">"60"</f>
        <v>60</v>
      </c>
      <c r="P281" t="str">
        <f t="shared" ref="P281:P291" si="55">"Association Loi 1901 non Reconnue d'Utilité Publique"</f>
        <v>Association Loi 1901 non Reconnue d'Utilité Publique</v>
      </c>
      <c r="Q281" t="str">
        <f t="shared" ref="Q281:Q312" si="56">"36"</f>
        <v>36</v>
      </c>
      <c r="R281" t="str">
        <f t="shared" ref="R281:R312" si="57">"Tarifs conventionnels assurance maladie"</f>
        <v>Tarifs conventionnels assurance maladie</v>
      </c>
      <c r="U281" t="str">
        <f>"690048442"</f>
        <v>690048442</v>
      </c>
    </row>
    <row r="282" spans="1:21" x14ac:dyDescent="0.3">
      <c r="A282" t="str">
        <f>"920039625"</f>
        <v>920039625</v>
      </c>
      <c r="B282" t="str">
        <f>"912 184 702 00013"</f>
        <v>912 184 702 00013</v>
      </c>
      <c r="D282" t="str">
        <f>"CDS MEDICO DENTAIRE DE BAGNEUX"</f>
        <v>CDS MEDICO DENTAIRE DE BAGNEUX</v>
      </c>
      <c r="F282" t="str">
        <f>"152 AVENUE ARISTIDE BRIAND"</f>
        <v>152 AVENUE ARISTIDE BRIAND</v>
      </c>
      <c r="H282" t="str">
        <f>"92220"</f>
        <v>92220</v>
      </c>
      <c r="I282" t="str">
        <f>"BAGNEUX"</f>
        <v>BAGNEUX</v>
      </c>
      <c r="J282" t="str">
        <f>"06 25 90 05 99 "</f>
        <v xml:space="preserve">06 25 90 05 99 </v>
      </c>
      <c r="L282" s="1">
        <v>44805</v>
      </c>
      <c r="M282" t="str">
        <f t="shared" si="52"/>
        <v>124</v>
      </c>
      <c r="N282" t="str">
        <f t="shared" si="53"/>
        <v>Centre de Santé</v>
      </c>
      <c r="O282" t="str">
        <f t="shared" si="54"/>
        <v>60</v>
      </c>
      <c r="P282" t="str">
        <f t="shared" si="55"/>
        <v>Association Loi 1901 non Reconnue d'Utilité Publique</v>
      </c>
      <c r="Q282" t="str">
        <f t="shared" si="56"/>
        <v>36</v>
      </c>
      <c r="R282" t="str">
        <f t="shared" si="57"/>
        <v>Tarifs conventionnels assurance maladie</v>
      </c>
      <c r="U282" t="str">
        <f>"750071003"</f>
        <v>750071003</v>
      </c>
    </row>
    <row r="283" spans="1:21" x14ac:dyDescent="0.3">
      <c r="A283" t="str">
        <f>"930032420"</f>
        <v>930032420</v>
      </c>
      <c r="B283" t="str">
        <f>"911 740 041 00015"</f>
        <v>911 740 041 00015</v>
      </c>
      <c r="D283" t="str">
        <f>"CDS DENTAIRE ET DU SOMMEIL"</f>
        <v>CDS DENTAIRE ET DU SOMMEIL</v>
      </c>
      <c r="F283" t="str">
        <f>"27 RUE DANTON"</f>
        <v>27 RUE DANTON</v>
      </c>
      <c r="H283" t="str">
        <f>"93310"</f>
        <v>93310</v>
      </c>
      <c r="I283" t="str">
        <f>"LE PRE ST GERVAIS"</f>
        <v>LE PRE ST GERVAIS</v>
      </c>
      <c r="L283" s="1">
        <v>44805</v>
      </c>
      <c r="M283" t="str">
        <f t="shared" si="52"/>
        <v>124</v>
      </c>
      <c r="N283" t="str">
        <f t="shared" si="53"/>
        <v>Centre de Santé</v>
      </c>
      <c r="O283" t="str">
        <f t="shared" si="54"/>
        <v>60</v>
      </c>
      <c r="P283" t="str">
        <f t="shared" si="55"/>
        <v>Association Loi 1901 non Reconnue d'Utilité Publique</v>
      </c>
      <c r="Q283" t="str">
        <f t="shared" si="56"/>
        <v>36</v>
      </c>
      <c r="R283" t="str">
        <f t="shared" si="57"/>
        <v>Tarifs conventionnels assurance maladie</v>
      </c>
      <c r="U283" t="str">
        <f>"930032412"</f>
        <v>930032412</v>
      </c>
    </row>
    <row r="284" spans="1:21" x14ac:dyDescent="0.3">
      <c r="A284" t="str">
        <f>"940029515"</f>
        <v>940029515</v>
      </c>
      <c r="B284" t="str">
        <f>"909 572 828 00012"</f>
        <v>909 572 828 00012</v>
      </c>
      <c r="D284" t="str">
        <f>"CDS MEDICO DENTAIRE ROUGET DE LISLE"</f>
        <v>CDS MEDICO DENTAIRE ROUGET DE LISLE</v>
      </c>
      <c r="F284" t="str">
        <f>"81 AVENUE ROUGET DE LISLE"</f>
        <v>81 AVENUE ROUGET DE LISLE</v>
      </c>
      <c r="H284" t="str">
        <f>"94400"</f>
        <v>94400</v>
      </c>
      <c r="I284" t="str">
        <f>"VITRY SUR SEINE"</f>
        <v>VITRY SUR SEINE</v>
      </c>
      <c r="J284" t="str">
        <f>"01 41 74 60 25 "</f>
        <v xml:space="preserve">01 41 74 60 25 </v>
      </c>
      <c r="L284" s="1">
        <v>44805</v>
      </c>
      <c r="M284" t="str">
        <f t="shared" si="52"/>
        <v>124</v>
      </c>
      <c r="N284" t="str">
        <f t="shared" si="53"/>
        <v>Centre de Santé</v>
      </c>
      <c r="O284" t="str">
        <f t="shared" si="54"/>
        <v>60</v>
      </c>
      <c r="P284" t="str">
        <f t="shared" si="55"/>
        <v>Association Loi 1901 non Reconnue d'Utilité Publique</v>
      </c>
      <c r="Q284" t="str">
        <f t="shared" si="56"/>
        <v>36</v>
      </c>
      <c r="R284" t="str">
        <f t="shared" si="57"/>
        <v>Tarifs conventionnels assurance maladie</v>
      </c>
      <c r="U284" t="str">
        <f>"940029507"</f>
        <v>940029507</v>
      </c>
    </row>
    <row r="285" spans="1:21" x14ac:dyDescent="0.3">
      <c r="A285" t="str">
        <f>"770026433"</f>
        <v>770026433</v>
      </c>
      <c r="B285" t="str">
        <f>"912 435 005 00018"</f>
        <v>912 435 005 00018</v>
      </c>
      <c r="D285" t="str">
        <f>"CDS POLE DENTAIRE LIEUSAINT SENART"</f>
        <v>CDS POLE DENTAIRE LIEUSAINT SENART</v>
      </c>
      <c r="F285" t="str">
        <f>"9 RUE GEORGES CHARPAK"</f>
        <v>9 RUE GEORGES CHARPAK</v>
      </c>
      <c r="H285" t="str">
        <f>"77127"</f>
        <v>77127</v>
      </c>
      <c r="I285" t="str">
        <f>"LIEUSAINT"</f>
        <v>LIEUSAINT</v>
      </c>
      <c r="J285" t="str">
        <f>"01 60 02 09 17 "</f>
        <v xml:space="preserve">01 60 02 09 17 </v>
      </c>
      <c r="L285" s="1">
        <v>44803</v>
      </c>
      <c r="M285" t="str">
        <f t="shared" si="52"/>
        <v>124</v>
      </c>
      <c r="N285" t="str">
        <f t="shared" si="53"/>
        <v>Centre de Santé</v>
      </c>
      <c r="O285" t="str">
        <f t="shared" si="54"/>
        <v>60</v>
      </c>
      <c r="P285" t="str">
        <f t="shared" si="55"/>
        <v>Association Loi 1901 non Reconnue d'Utilité Publique</v>
      </c>
      <c r="Q285" t="str">
        <f t="shared" si="56"/>
        <v>36</v>
      </c>
      <c r="R285" t="str">
        <f t="shared" si="57"/>
        <v>Tarifs conventionnels assurance maladie</v>
      </c>
      <c r="U285" t="str">
        <f>"770026425"</f>
        <v>770026425</v>
      </c>
    </row>
    <row r="286" spans="1:21" x14ac:dyDescent="0.3">
      <c r="A286" t="str">
        <f>"800021636"</f>
        <v>800021636</v>
      </c>
      <c r="B286" t="str">
        <f>"313 524 753 00156"</f>
        <v>313 524 753 00156</v>
      </c>
      <c r="D286" t="str">
        <f>"CSP COSEM AMIENS"</f>
        <v>CSP COSEM AMIENS</v>
      </c>
      <c r="F286" t="str">
        <f>"56 RUE DES 3 CAILLOUX"</f>
        <v>56 RUE DES 3 CAILLOUX</v>
      </c>
      <c r="H286" t="str">
        <f>"80000"</f>
        <v>80000</v>
      </c>
      <c r="I286" t="str">
        <f>"AMIENS"</f>
        <v>AMIENS</v>
      </c>
      <c r="J286" t="str">
        <f>"01 55 07 16 10 "</f>
        <v xml:space="preserve">01 55 07 16 10 </v>
      </c>
      <c r="L286" s="1">
        <v>44803</v>
      </c>
      <c r="M286" t="str">
        <f t="shared" si="52"/>
        <v>124</v>
      </c>
      <c r="N286" t="str">
        <f t="shared" si="53"/>
        <v>Centre de Santé</v>
      </c>
      <c r="O286" t="str">
        <f t="shared" si="54"/>
        <v>60</v>
      </c>
      <c r="P286" t="str">
        <f t="shared" si="55"/>
        <v>Association Loi 1901 non Reconnue d'Utilité Publique</v>
      </c>
      <c r="Q286" t="str">
        <f t="shared" si="56"/>
        <v>36</v>
      </c>
      <c r="R286" t="str">
        <f t="shared" si="57"/>
        <v>Tarifs conventionnels assurance maladie</v>
      </c>
      <c r="U286" t="str">
        <f>"750819583"</f>
        <v>750819583</v>
      </c>
    </row>
    <row r="287" spans="1:21" x14ac:dyDescent="0.3">
      <c r="A287" t="str">
        <f>"920039591"</f>
        <v>920039591</v>
      </c>
      <c r="B287" t="str">
        <f>"910 434 315 00024"</f>
        <v>910 434 315 00024</v>
      </c>
      <c r="D287" t="str">
        <f>"CDS OPHTALMOLOGIQUE DE CHAVILLE"</f>
        <v>CDS OPHTALMOLOGIQUE DE CHAVILLE</v>
      </c>
      <c r="F287" t="str">
        <f>"783 AVENUE ROGER SALENGRO"</f>
        <v>783 AVENUE ROGER SALENGRO</v>
      </c>
      <c r="H287" t="str">
        <f>"92370"</f>
        <v>92370</v>
      </c>
      <c r="I287" t="str">
        <f>"CHAVILLE"</f>
        <v>CHAVILLE</v>
      </c>
      <c r="J287" t="str">
        <f>"06 13 25 01 42 "</f>
        <v xml:space="preserve">06 13 25 01 42 </v>
      </c>
      <c r="L287" s="1">
        <v>44803</v>
      </c>
      <c r="M287" t="str">
        <f t="shared" si="52"/>
        <v>124</v>
      </c>
      <c r="N287" t="str">
        <f t="shared" si="53"/>
        <v>Centre de Santé</v>
      </c>
      <c r="O287" t="str">
        <f t="shared" si="54"/>
        <v>60</v>
      </c>
      <c r="P287" t="str">
        <f t="shared" si="55"/>
        <v>Association Loi 1901 non Reconnue d'Utilité Publique</v>
      </c>
      <c r="Q287" t="str">
        <f t="shared" si="56"/>
        <v>36</v>
      </c>
      <c r="R287" t="str">
        <f t="shared" si="57"/>
        <v>Tarifs conventionnels assurance maladie</v>
      </c>
      <c r="U287" t="str">
        <f>"920039583"</f>
        <v>920039583</v>
      </c>
    </row>
    <row r="288" spans="1:21" x14ac:dyDescent="0.3">
      <c r="A288" t="str">
        <f>"690049838"</f>
        <v>690049838</v>
      </c>
      <c r="B288" t="str">
        <f>"313 524 753 00164"</f>
        <v>313 524 753 00164</v>
      </c>
      <c r="D288" t="str">
        <f>"CENTRE DE SANTE COSEM LYON 7EME"</f>
        <v>CENTRE DE SANTE COSEM LYON 7EME</v>
      </c>
      <c r="F288" t="str">
        <f>"44 COURS GAMBETTA"</f>
        <v>44 COURS GAMBETTA</v>
      </c>
      <c r="H288" t="str">
        <f>"69007"</f>
        <v>69007</v>
      </c>
      <c r="I288" t="str">
        <f>"LYON"</f>
        <v>LYON</v>
      </c>
      <c r="J288" t="str">
        <f>"01 55 56 62 50 "</f>
        <v xml:space="preserve">01 55 56 62 50 </v>
      </c>
      <c r="L288" s="1">
        <v>44802</v>
      </c>
      <c r="M288" t="str">
        <f t="shared" si="52"/>
        <v>124</v>
      </c>
      <c r="N288" t="str">
        <f t="shared" si="53"/>
        <v>Centre de Santé</v>
      </c>
      <c r="O288" t="str">
        <f t="shared" si="54"/>
        <v>60</v>
      </c>
      <c r="P288" t="str">
        <f t="shared" si="55"/>
        <v>Association Loi 1901 non Reconnue d'Utilité Publique</v>
      </c>
      <c r="Q288" t="str">
        <f t="shared" si="56"/>
        <v>36</v>
      </c>
      <c r="R288" t="str">
        <f t="shared" si="57"/>
        <v>Tarifs conventionnels assurance maladie</v>
      </c>
      <c r="U288" t="str">
        <f>"750819583"</f>
        <v>750819583</v>
      </c>
    </row>
    <row r="289" spans="1:21" x14ac:dyDescent="0.3">
      <c r="A289" t="str">
        <f>"930031802"</f>
        <v>930031802</v>
      </c>
      <c r="B289" t="str">
        <f>"904 659 232 00014"</f>
        <v>904 659 232 00014</v>
      </c>
      <c r="D289" t="str">
        <f>"CDS POLYVALENT ST DENIS"</f>
        <v>CDS POLYVALENT ST DENIS</v>
      </c>
      <c r="F289" t="str">
        <f>"10 RUE DES URSULINES"</f>
        <v>10 RUE DES URSULINES</v>
      </c>
      <c r="H289" t="str">
        <f>"93200"</f>
        <v>93200</v>
      </c>
      <c r="I289" t="str">
        <f>"ST DENIS"</f>
        <v>ST DENIS</v>
      </c>
      <c r="J289" t="str">
        <f>"01 86 26 75 70 "</f>
        <v xml:space="preserve">01 86 26 75 70 </v>
      </c>
      <c r="L289" s="1">
        <v>44802</v>
      </c>
      <c r="M289" t="str">
        <f t="shared" si="52"/>
        <v>124</v>
      </c>
      <c r="N289" t="str">
        <f t="shared" si="53"/>
        <v>Centre de Santé</v>
      </c>
      <c r="O289" t="str">
        <f t="shared" si="54"/>
        <v>60</v>
      </c>
      <c r="P289" t="str">
        <f t="shared" si="55"/>
        <v>Association Loi 1901 non Reconnue d'Utilité Publique</v>
      </c>
      <c r="Q289" t="str">
        <f t="shared" si="56"/>
        <v>36</v>
      </c>
      <c r="R289" t="str">
        <f t="shared" si="57"/>
        <v>Tarifs conventionnels assurance maladie</v>
      </c>
      <c r="U289" t="str">
        <f>"750070161"</f>
        <v>750070161</v>
      </c>
    </row>
    <row r="290" spans="1:21" x14ac:dyDescent="0.3">
      <c r="A290" t="str">
        <f>"940029630"</f>
        <v>940029630</v>
      </c>
      <c r="B290" t="str">
        <f>"913 688 545 00015"</f>
        <v>913 688 545 00015</v>
      </c>
      <c r="D290" t="str">
        <f>"CDS MEDICAL DU PHOENIX"</f>
        <v>CDS MEDICAL DU PHOENIX</v>
      </c>
      <c r="F290" t="str">
        <f>"220 AVENUE DU GENERAL LECLERC"</f>
        <v>220 AVENUE DU GENERAL LECLERC</v>
      </c>
      <c r="H290" t="str">
        <f>"94460"</f>
        <v>94460</v>
      </c>
      <c r="I290" t="str">
        <f>"VALENTON"</f>
        <v>VALENTON</v>
      </c>
      <c r="J290" t="str">
        <f>"01 85 44 15 55 "</f>
        <v xml:space="preserve">01 85 44 15 55 </v>
      </c>
      <c r="L290" s="1">
        <v>44802</v>
      </c>
      <c r="M290" t="str">
        <f t="shared" si="52"/>
        <v>124</v>
      </c>
      <c r="N290" t="str">
        <f t="shared" si="53"/>
        <v>Centre de Santé</v>
      </c>
      <c r="O290" t="str">
        <f t="shared" si="54"/>
        <v>60</v>
      </c>
      <c r="P290" t="str">
        <f t="shared" si="55"/>
        <v>Association Loi 1901 non Reconnue d'Utilité Publique</v>
      </c>
      <c r="Q290" t="str">
        <f t="shared" si="56"/>
        <v>36</v>
      </c>
      <c r="R290" t="str">
        <f t="shared" si="57"/>
        <v>Tarifs conventionnels assurance maladie</v>
      </c>
      <c r="U290" t="str">
        <f>"940029622"</f>
        <v>940029622</v>
      </c>
    </row>
    <row r="291" spans="1:21" x14ac:dyDescent="0.3">
      <c r="A291" t="str">
        <f>"300020310"</f>
        <v>300020310</v>
      </c>
      <c r="B291" t="str">
        <f>"900 780 602 00018"</f>
        <v>900 780 602 00018</v>
      </c>
      <c r="D291" t="str">
        <f>"CENTRE DE SANTÉ DENTAIRE VERTUO UZÈS"</f>
        <v>CENTRE DE SANTÉ DENTAIRE VERTUO UZÈS</v>
      </c>
      <c r="E291" t="str">
        <f>"Z A DU PONT DES CHARRETTES"</f>
        <v>Z A DU PONT DES CHARRETTES</v>
      </c>
      <c r="F291" t="str">
        <f>""</f>
        <v/>
      </c>
      <c r="G291" t="str">
        <f>"CENTRE COMMERCIAL CARREFOUR UZÈS"</f>
        <v>CENTRE COMMERCIAL CARREFOUR UZÈS</v>
      </c>
      <c r="H291" t="str">
        <f>"30700"</f>
        <v>30700</v>
      </c>
      <c r="I291" t="str">
        <f>"UZES"</f>
        <v>UZES</v>
      </c>
      <c r="J291" t="str">
        <f>"06 79 84 20 31 "</f>
        <v xml:space="preserve">06 79 84 20 31 </v>
      </c>
      <c r="L291" s="1">
        <v>44799</v>
      </c>
      <c r="M291" t="str">
        <f t="shared" si="52"/>
        <v>124</v>
      </c>
      <c r="N291" t="str">
        <f t="shared" si="53"/>
        <v>Centre de Santé</v>
      </c>
      <c r="O291" t="str">
        <f t="shared" si="54"/>
        <v>60</v>
      </c>
      <c r="P291" t="str">
        <f t="shared" si="55"/>
        <v>Association Loi 1901 non Reconnue d'Utilité Publique</v>
      </c>
      <c r="Q291" t="str">
        <f t="shared" si="56"/>
        <v>36</v>
      </c>
      <c r="R291" t="str">
        <f t="shared" si="57"/>
        <v>Tarifs conventionnels assurance maladie</v>
      </c>
      <c r="U291" t="str">
        <f>"300020302"</f>
        <v>300020302</v>
      </c>
    </row>
    <row r="292" spans="1:21" x14ac:dyDescent="0.3">
      <c r="A292" t="str">
        <f>"320005713"</f>
        <v>320005713</v>
      </c>
      <c r="B292" t="str">
        <f>"223 200 015 00996"</f>
        <v>223 200 015 00996</v>
      </c>
      <c r="D292" t="str">
        <f>"CTRE TERRITORIAL DE SANTÉ VIC FEZENSAC"</f>
        <v>CTRE TERRITORIAL DE SANTÉ VIC FEZENSAC</v>
      </c>
      <c r="F292" t="str">
        <f>"CHEMIN DE LA TÉOULÈRE"</f>
        <v>CHEMIN DE LA TÉOULÈRE</v>
      </c>
      <c r="H292" t="str">
        <f>"32190"</f>
        <v>32190</v>
      </c>
      <c r="I292" t="str">
        <f>"VIC FEZENSAC"</f>
        <v>VIC FEZENSAC</v>
      </c>
      <c r="J292" t="str">
        <f>"05 32 46 00 40 "</f>
        <v xml:space="preserve">05 32 46 00 40 </v>
      </c>
      <c r="L292" s="1">
        <v>44799</v>
      </c>
      <c r="M292" t="str">
        <f t="shared" si="52"/>
        <v>124</v>
      </c>
      <c r="N292" t="str">
        <f t="shared" si="53"/>
        <v>Centre de Santé</v>
      </c>
      <c r="O292" t="str">
        <f>"02"</f>
        <v>02</v>
      </c>
      <c r="P292" t="str">
        <f>"Département"</f>
        <v>Département</v>
      </c>
      <c r="Q292" t="str">
        <f t="shared" si="56"/>
        <v>36</v>
      </c>
      <c r="R292" t="str">
        <f t="shared" si="57"/>
        <v>Tarifs conventionnels assurance maladie</v>
      </c>
      <c r="U292" t="str">
        <f>"320782881"</f>
        <v>320782881</v>
      </c>
    </row>
    <row r="293" spans="1:21" x14ac:dyDescent="0.3">
      <c r="A293" t="str">
        <f>"320005762"</f>
        <v>320005762</v>
      </c>
      <c r="B293" t="str">
        <f>"223 200 015 00988"</f>
        <v>223 200 015 00988</v>
      </c>
      <c r="D293" t="str">
        <f>"CTRE TERRITORIAL SANTE PLAISANCE GERS"</f>
        <v>CTRE TERRITORIAL SANTE PLAISANCE GERS</v>
      </c>
      <c r="F293" t="str">
        <f>"2 RUE DE L'ADOUR"</f>
        <v>2 RUE DE L'ADOUR</v>
      </c>
      <c r="H293" t="str">
        <f>"32160"</f>
        <v>32160</v>
      </c>
      <c r="I293" t="str">
        <f>"PLAISANCE"</f>
        <v>PLAISANCE</v>
      </c>
      <c r="J293" t="str">
        <f>"05 32 48 00 05 "</f>
        <v xml:space="preserve">05 32 48 00 05 </v>
      </c>
      <c r="L293" s="1">
        <v>44799</v>
      </c>
      <c r="M293" t="str">
        <f t="shared" si="52"/>
        <v>124</v>
      </c>
      <c r="N293" t="str">
        <f t="shared" si="53"/>
        <v>Centre de Santé</v>
      </c>
      <c r="O293" t="str">
        <f>"02"</f>
        <v>02</v>
      </c>
      <c r="P293" t="str">
        <f>"Département"</f>
        <v>Département</v>
      </c>
      <c r="Q293" t="str">
        <f t="shared" si="56"/>
        <v>36</v>
      </c>
      <c r="R293" t="str">
        <f t="shared" si="57"/>
        <v>Tarifs conventionnels assurance maladie</v>
      </c>
      <c r="U293" t="str">
        <f>"320782881"</f>
        <v>320782881</v>
      </c>
    </row>
    <row r="294" spans="1:21" x14ac:dyDescent="0.3">
      <c r="A294" t="str">
        <f>"020018800"</f>
        <v>020018800</v>
      </c>
      <c r="D294" t="str">
        <f>"CSP HORIZON MÉDICAL"</f>
        <v>CSP HORIZON MÉDICAL</v>
      </c>
      <c r="F294" t="str">
        <f>"10 RUE DE LÉMAILLERIE"</f>
        <v>10 RUE DE LÉMAILLERIE</v>
      </c>
      <c r="H294" t="str">
        <f>"02200"</f>
        <v>02200</v>
      </c>
      <c r="I294" t="str">
        <f>"SOISSONS"</f>
        <v>SOISSONS</v>
      </c>
      <c r="L294" s="1">
        <v>44796</v>
      </c>
      <c r="M294" t="str">
        <f t="shared" si="52"/>
        <v>124</v>
      </c>
      <c r="N294" t="str">
        <f t="shared" si="53"/>
        <v>Centre de Santé</v>
      </c>
      <c r="O294" t="str">
        <f>"61"</f>
        <v>61</v>
      </c>
      <c r="P294" t="str">
        <f>"Association Loi 1901 Reconnue d'Utilité Publique"</f>
        <v>Association Loi 1901 Reconnue d'Utilité Publique</v>
      </c>
      <c r="Q294" t="str">
        <f t="shared" si="56"/>
        <v>36</v>
      </c>
      <c r="R294" t="str">
        <f t="shared" si="57"/>
        <v>Tarifs conventionnels assurance maladie</v>
      </c>
      <c r="U294" t="str">
        <f>"020018792"</f>
        <v>020018792</v>
      </c>
    </row>
    <row r="295" spans="1:21" x14ac:dyDescent="0.3">
      <c r="A295" t="str">
        <f>"180010480"</f>
        <v>180010480</v>
      </c>
      <c r="D295" t="str">
        <f>"CENTRE DE SANTÉ D’HENRICHEMONT"</f>
        <v>CENTRE DE SANTÉ D’HENRICHEMONT</v>
      </c>
      <c r="F295" t="str">
        <f>"19 PLACE HENRY IV"</f>
        <v>19 PLACE HENRY IV</v>
      </c>
      <c r="H295" t="str">
        <f>"18250"</f>
        <v>18250</v>
      </c>
      <c r="I295" t="str">
        <f>"HENRICHEMONT"</f>
        <v>HENRICHEMONT</v>
      </c>
      <c r="L295" s="1">
        <v>44796</v>
      </c>
      <c r="M295" t="str">
        <f t="shared" si="52"/>
        <v>124</v>
      </c>
      <c r="N295" t="str">
        <f t="shared" si="53"/>
        <v>Centre de Santé</v>
      </c>
      <c r="O295" t="str">
        <f>"28"</f>
        <v>28</v>
      </c>
      <c r="P295" t="str">
        <f>"Groupement d'Intérêt Public (G.I.P.)"</f>
        <v>Groupement d'Intérêt Public (G.I.P.)</v>
      </c>
      <c r="Q295" t="str">
        <f t="shared" si="56"/>
        <v>36</v>
      </c>
      <c r="R295" t="str">
        <f t="shared" si="57"/>
        <v>Tarifs conventionnels assurance maladie</v>
      </c>
      <c r="U295" t="str">
        <f>"450022801"</f>
        <v>450022801</v>
      </c>
    </row>
    <row r="296" spans="1:21" x14ac:dyDescent="0.3">
      <c r="A296" t="str">
        <f>"600016802"</f>
        <v>600016802</v>
      </c>
      <c r="B296" t="str">
        <f>"890 969 157 00027"</f>
        <v>890 969 157 00027</v>
      </c>
      <c r="D296" t="str">
        <f>"CSD"</f>
        <v>CSD</v>
      </c>
      <c r="F296" t="str">
        <f>"1 PLACE DE LA GARE"</f>
        <v>1 PLACE DE LA GARE</v>
      </c>
      <c r="H296" t="str">
        <f>"60800"</f>
        <v>60800</v>
      </c>
      <c r="I296" t="str">
        <f>"CREPY EN VALOIS"</f>
        <v>CREPY EN VALOIS</v>
      </c>
      <c r="L296" s="1">
        <v>44796</v>
      </c>
      <c r="M296" t="str">
        <f t="shared" si="52"/>
        <v>124</v>
      </c>
      <c r="N296" t="str">
        <f t="shared" si="53"/>
        <v>Centre de Santé</v>
      </c>
      <c r="O296" t="str">
        <f>"61"</f>
        <v>61</v>
      </c>
      <c r="P296" t="str">
        <f>"Association Loi 1901 Reconnue d'Utilité Publique"</f>
        <v>Association Loi 1901 Reconnue d'Utilité Publique</v>
      </c>
      <c r="Q296" t="str">
        <f t="shared" si="56"/>
        <v>36</v>
      </c>
      <c r="R296" t="str">
        <f t="shared" si="57"/>
        <v>Tarifs conventionnels assurance maladie</v>
      </c>
      <c r="U296" t="str">
        <f>"600016794"</f>
        <v>600016794</v>
      </c>
    </row>
    <row r="297" spans="1:21" x14ac:dyDescent="0.3">
      <c r="A297" t="str">
        <f>"930032081"</f>
        <v>930032081</v>
      </c>
      <c r="B297" t="str">
        <f>"912 883 683 00019"</f>
        <v>912 883 683 00019</v>
      </c>
      <c r="D297" t="str">
        <f>"CDS DENTAIRE D EPINAY SUR SEINE"</f>
        <v>CDS DENTAIRE D EPINAY SUR SEINE</v>
      </c>
      <c r="F297" t="str">
        <f>"63 BOULEVARD FOCH"</f>
        <v>63 BOULEVARD FOCH</v>
      </c>
      <c r="H297" t="str">
        <f>"93800"</f>
        <v>93800</v>
      </c>
      <c r="I297" t="str">
        <f>"EPINAY SUR SEINE"</f>
        <v>EPINAY SUR SEINE</v>
      </c>
      <c r="J297" t="str">
        <f>"06 98 16 70 67 "</f>
        <v xml:space="preserve">06 98 16 70 67 </v>
      </c>
      <c r="L297" s="1">
        <v>44796</v>
      </c>
      <c r="M297" t="str">
        <f t="shared" si="52"/>
        <v>124</v>
      </c>
      <c r="N297" t="str">
        <f t="shared" si="53"/>
        <v>Centre de Santé</v>
      </c>
      <c r="O297" t="str">
        <f>"60"</f>
        <v>60</v>
      </c>
      <c r="P297" t="str">
        <f>"Association Loi 1901 non Reconnue d'Utilité Publique"</f>
        <v>Association Loi 1901 non Reconnue d'Utilité Publique</v>
      </c>
      <c r="Q297" t="str">
        <f t="shared" si="56"/>
        <v>36</v>
      </c>
      <c r="R297" t="str">
        <f t="shared" si="57"/>
        <v>Tarifs conventionnels assurance maladie</v>
      </c>
      <c r="U297" t="str">
        <f>"930032073"</f>
        <v>930032073</v>
      </c>
    </row>
    <row r="298" spans="1:21" x14ac:dyDescent="0.3">
      <c r="A298" t="str">
        <f>"330062399"</f>
        <v>330062399</v>
      </c>
      <c r="B298" t="str">
        <f>"894 231 497 00013"</f>
        <v>894 231 497 00013</v>
      </c>
      <c r="D298" t="str">
        <f>"CDS DENTAL MED OC"</f>
        <v>CDS DENTAL MED OC</v>
      </c>
      <c r="F298" t="str">
        <f>"522 ROUTE DE PAUILLAC"</f>
        <v>522 ROUTE DE PAUILLAC</v>
      </c>
      <c r="H298" t="str">
        <f>"33290"</f>
        <v>33290</v>
      </c>
      <c r="I298" t="str">
        <f>"LE PIAN MEDOC"</f>
        <v>LE PIAN MEDOC</v>
      </c>
      <c r="J298" t="str">
        <f>"05 47 50 50 05 "</f>
        <v xml:space="preserve">05 47 50 50 05 </v>
      </c>
      <c r="L298" s="1">
        <v>44795</v>
      </c>
      <c r="M298" t="str">
        <f t="shared" si="52"/>
        <v>124</v>
      </c>
      <c r="N298" t="str">
        <f t="shared" si="53"/>
        <v>Centre de Santé</v>
      </c>
      <c r="O298" t="str">
        <f>"60"</f>
        <v>60</v>
      </c>
      <c r="P298" t="str">
        <f>"Association Loi 1901 non Reconnue d'Utilité Publique"</f>
        <v>Association Loi 1901 non Reconnue d'Utilité Publique</v>
      </c>
      <c r="Q298" t="str">
        <f t="shared" si="56"/>
        <v>36</v>
      </c>
      <c r="R298" t="str">
        <f t="shared" si="57"/>
        <v>Tarifs conventionnels assurance maladie</v>
      </c>
      <c r="U298" t="str">
        <f>"330062381"</f>
        <v>330062381</v>
      </c>
    </row>
    <row r="299" spans="1:21" x14ac:dyDescent="0.3">
      <c r="A299" t="str">
        <f>"690046321"</f>
        <v>690046321</v>
      </c>
      <c r="B299" t="str">
        <f>"517 647 632 00051"</f>
        <v>517 647 632 00051</v>
      </c>
      <c r="D299" t="str">
        <f>"CENTRE DE SANTE ET SEXUALITE LYON 1"</f>
        <v>CENTRE DE SANTE ET SEXUALITE LYON 1</v>
      </c>
      <c r="F299" t="str">
        <f>"23 RUE DES CAPUCINS"</f>
        <v>23 RUE DES CAPUCINS</v>
      </c>
      <c r="H299" t="str">
        <f>"69001"</f>
        <v>69001</v>
      </c>
      <c r="I299" t="str">
        <f>"LYON"</f>
        <v>LYON</v>
      </c>
      <c r="J299" t="str">
        <f>"06 35 50 36 76 "</f>
        <v xml:space="preserve">06 35 50 36 76 </v>
      </c>
      <c r="L299" s="1">
        <v>44795</v>
      </c>
      <c r="M299" t="str">
        <f t="shared" si="52"/>
        <v>124</v>
      </c>
      <c r="N299" t="str">
        <f t="shared" si="53"/>
        <v>Centre de Santé</v>
      </c>
      <c r="O299" t="str">
        <f>"60"</f>
        <v>60</v>
      </c>
      <c r="P299" t="str">
        <f>"Association Loi 1901 non Reconnue d'Utilité Publique"</f>
        <v>Association Loi 1901 non Reconnue d'Utilité Publique</v>
      </c>
      <c r="Q299" t="str">
        <f t="shared" si="56"/>
        <v>36</v>
      </c>
      <c r="R299" t="str">
        <f t="shared" si="57"/>
        <v>Tarifs conventionnels assurance maladie</v>
      </c>
      <c r="U299" t="str">
        <f>"690046313"</f>
        <v>690046313</v>
      </c>
    </row>
    <row r="300" spans="1:21" x14ac:dyDescent="0.3">
      <c r="A300" t="str">
        <f>"110009701"</f>
        <v>110009701</v>
      </c>
      <c r="B300" t="str">
        <f>"813 179 793 01207"</f>
        <v>813 179 793 01207</v>
      </c>
      <c r="D300" t="str">
        <f>"CTRE DE SANTE DENTAIRE DE CARCASSONNE"</f>
        <v>CTRE DE SANTE DENTAIRE DE CARCASSONNE</v>
      </c>
      <c r="E300" t="str">
        <f>"ESPACE XENON - ZI PONT ROUGE"</f>
        <v>ESPACE XENON - ZI PONT ROUGE</v>
      </c>
      <c r="F300" t="str">
        <f>"RUE MAGELLAN"</f>
        <v>RUE MAGELLAN</v>
      </c>
      <c r="H300" t="str">
        <f>"11000"</f>
        <v>11000</v>
      </c>
      <c r="I300" t="str">
        <f>"CARCASSONNE"</f>
        <v>CARCASSONNE</v>
      </c>
      <c r="J300" t="str">
        <f>"04 68 10 01 07 "</f>
        <v xml:space="preserve">04 68 10 01 07 </v>
      </c>
      <c r="L300" s="1">
        <v>44792</v>
      </c>
      <c r="M300" t="str">
        <f t="shared" si="52"/>
        <v>124</v>
      </c>
      <c r="N300" t="str">
        <f t="shared" si="53"/>
        <v>Centre de Santé</v>
      </c>
      <c r="O300" t="str">
        <f>"47"</f>
        <v>47</v>
      </c>
      <c r="P300" t="str">
        <f>"Société Mutualiste"</f>
        <v>Société Mutualiste</v>
      </c>
      <c r="Q300" t="str">
        <f t="shared" si="56"/>
        <v>36</v>
      </c>
      <c r="R300" t="str">
        <f t="shared" si="57"/>
        <v>Tarifs conventionnels assurance maladie</v>
      </c>
      <c r="U300" t="str">
        <f>"340023209"</f>
        <v>340023209</v>
      </c>
    </row>
    <row r="301" spans="1:21" x14ac:dyDescent="0.3">
      <c r="A301" t="str">
        <f>"110009792"</f>
        <v>110009792</v>
      </c>
      <c r="B301" t="str">
        <f>"909 779 803 00016"</f>
        <v>909 779 803 00016</v>
      </c>
      <c r="D301" t="str">
        <f>"CDS OPHTALMO ET MEDICAL CARCASSONNE"</f>
        <v>CDS OPHTALMO ET MEDICAL CARCASSONNE</v>
      </c>
      <c r="F301" t="str">
        <f>"1 PLACE CARNOT"</f>
        <v>1 PLACE CARNOT</v>
      </c>
      <c r="H301" t="str">
        <f>"11000"</f>
        <v>11000</v>
      </c>
      <c r="I301" t="str">
        <f>"CARCASSONNE"</f>
        <v>CARCASSONNE</v>
      </c>
      <c r="J301" t="str">
        <f>"05 82 84 84 00 "</f>
        <v xml:space="preserve">05 82 84 84 00 </v>
      </c>
      <c r="L301" s="1">
        <v>44792</v>
      </c>
      <c r="M301" t="str">
        <f t="shared" si="52"/>
        <v>124</v>
      </c>
      <c r="N301" t="str">
        <f t="shared" si="53"/>
        <v>Centre de Santé</v>
      </c>
      <c r="O301" t="str">
        <f>"60"</f>
        <v>60</v>
      </c>
      <c r="P301" t="str">
        <f>"Association Loi 1901 non Reconnue d'Utilité Publique"</f>
        <v>Association Loi 1901 non Reconnue d'Utilité Publique</v>
      </c>
      <c r="Q301" t="str">
        <f t="shared" si="56"/>
        <v>36</v>
      </c>
      <c r="R301" t="str">
        <f t="shared" si="57"/>
        <v>Tarifs conventionnels assurance maladie</v>
      </c>
      <c r="U301" t="str">
        <f>"110009784"</f>
        <v>110009784</v>
      </c>
    </row>
    <row r="302" spans="1:21" x14ac:dyDescent="0.3">
      <c r="A302" t="str">
        <f>"010012656"</f>
        <v>010012656</v>
      </c>
      <c r="B302" t="str">
        <f>"914 873 633 00012"</f>
        <v>914 873 633 00012</v>
      </c>
      <c r="D302" t="str">
        <f>"CENTRE DE SANTE DE SAINT GENIS POUILLY"</f>
        <v>CENTRE DE SANTE DE SAINT GENIS POUILLY</v>
      </c>
      <c r="F302" t="str">
        <f>"34 RUE DU MONT BLANC"</f>
        <v>34 RUE DU MONT BLANC</v>
      </c>
      <c r="H302" t="str">
        <f>"01630"</f>
        <v>01630</v>
      </c>
      <c r="I302" t="str">
        <f>"ST GENIS POUILLY"</f>
        <v>ST GENIS POUILLY</v>
      </c>
      <c r="J302" t="str">
        <f>"04 44 89 00 17 "</f>
        <v xml:space="preserve">04 44 89 00 17 </v>
      </c>
      <c r="L302" s="1">
        <v>44791</v>
      </c>
      <c r="M302" t="str">
        <f t="shared" si="52"/>
        <v>124</v>
      </c>
      <c r="N302" t="str">
        <f t="shared" si="53"/>
        <v>Centre de Santé</v>
      </c>
      <c r="O302" t="str">
        <f>"60"</f>
        <v>60</v>
      </c>
      <c r="P302" t="str">
        <f>"Association Loi 1901 non Reconnue d'Utilité Publique"</f>
        <v>Association Loi 1901 non Reconnue d'Utilité Publique</v>
      </c>
      <c r="Q302" t="str">
        <f t="shared" si="56"/>
        <v>36</v>
      </c>
      <c r="R302" t="str">
        <f t="shared" si="57"/>
        <v>Tarifs conventionnels assurance maladie</v>
      </c>
      <c r="U302" t="str">
        <f>"010012649"</f>
        <v>010012649</v>
      </c>
    </row>
    <row r="303" spans="1:21" x14ac:dyDescent="0.3">
      <c r="A303" t="str">
        <f>"070008586"</f>
        <v>070008586</v>
      </c>
      <c r="B303" t="str">
        <f>"210 702 643 00011"</f>
        <v>210 702 643 00011</v>
      </c>
      <c r="D303" t="str">
        <f>"CENTRE DE SANTE RHONE PROVENCE"</f>
        <v>CENTRE DE SANTE RHONE PROVENCE</v>
      </c>
      <c r="F303" t="str">
        <f>"135 AVENUE DE PROVENCE"</f>
        <v>135 AVENUE DE PROVENCE</v>
      </c>
      <c r="H303" t="str">
        <f>"07700"</f>
        <v>07700</v>
      </c>
      <c r="I303" t="str">
        <f>"ST MARCEL D ARDECHE"</f>
        <v>ST MARCEL D ARDECHE</v>
      </c>
      <c r="J303" t="str">
        <f>"04 75 97 26 10 "</f>
        <v xml:space="preserve">04 75 97 26 10 </v>
      </c>
      <c r="L303" s="1">
        <v>44791</v>
      </c>
      <c r="M303" t="str">
        <f t="shared" si="52"/>
        <v>124</v>
      </c>
      <c r="N303" t="str">
        <f t="shared" si="53"/>
        <v>Centre de Santé</v>
      </c>
      <c r="O303" t="str">
        <f>"03"</f>
        <v>03</v>
      </c>
      <c r="P303" t="str">
        <f>"Commune"</f>
        <v>Commune</v>
      </c>
      <c r="Q303" t="str">
        <f t="shared" si="56"/>
        <v>36</v>
      </c>
      <c r="R303" t="str">
        <f t="shared" si="57"/>
        <v>Tarifs conventionnels assurance maladie</v>
      </c>
      <c r="U303" t="str">
        <f>"070008578"</f>
        <v>070008578</v>
      </c>
    </row>
    <row r="304" spans="1:21" x14ac:dyDescent="0.3">
      <c r="A304" t="str">
        <f>"130052939"</f>
        <v>130052939</v>
      </c>
      <c r="B304" t="str">
        <f>"909 670 663 00014"</f>
        <v>909 670 663 00014</v>
      </c>
      <c r="D304" t="str">
        <f>"CDS CLAIRVOYANCE"</f>
        <v>CDS CLAIRVOYANCE</v>
      </c>
      <c r="F304" t="str">
        <f>"391 BOULEVARD ROMAIN ROLLAND"</f>
        <v>391 BOULEVARD ROMAIN ROLLAND</v>
      </c>
      <c r="H304" t="str">
        <f>"13009"</f>
        <v>13009</v>
      </c>
      <c r="I304" t="str">
        <f>"MARSEILLE"</f>
        <v>MARSEILLE</v>
      </c>
      <c r="L304" s="1">
        <v>44790</v>
      </c>
      <c r="M304" t="str">
        <f t="shared" si="52"/>
        <v>124</v>
      </c>
      <c r="N304" t="str">
        <f t="shared" si="53"/>
        <v>Centre de Santé</v>
      </c>
      <c r="O304" t="str">
        <f>"61"</f>
        <v>61</v>
      </c>
      <c r="P304" t="str">
        <f>"Association Loi 1901 Reconnue d'Utilité Publique"</f>
        <v>Association Loi 1901 Reconnue d'Utilité Publique</v>
      </c>
      <c r="Q304" t="str">
        <f t="shared" si="56"/>
        <v>36</v>
      </c>
      <c r="R304" t="str">
        <f t="shared" si="57"/>
        <v>Tarifs conventionnels assurance maladie</v>
      </c>
      <c r="U304" t="str">
        <f>"130052921"</f>
        <v>130052921</v>
      </c>
    </row>
    <row r="305" spans="1:21" x14ac:dyDescent="0.3">
      <c r="A305" t="str">
        <f>"570003137"</f>
        <v>570003137</v>
      </c>
      <c r="B305" t="str">
        <f>"515 260 883 00126"</f>
        <v>515 260 883 00126</v>
      </c>
      <c r="D305" t="str">
        <f>"CENTRE DE SANTE CES DE LA CPAM MOSELLE"</f>
        <v>CENTRE DE SANTE CES DE LA CPAM MOSELLE</v>
      </c>
      <c r="F305" t="str">
        <f>"3 PLACE DE LA BIBLIOTHEQUE"</f>
        <v>3 PLACE DE LA BIBLIOTHEQUE</v>
      </c>
      <c r="G305" t="str">
        <f>"BP 20512"</f>
        <v>BP 20512</v>
      </c>
      <c r="H305" t="str">
        <f>"57000"</f>
        <v>57000</v>
      </c>
      <c r="I305" t="str">
        <f>"METZ"</f>
        <v>METZ</v>
      </c>
      <c r="J305" t="str">
        <f>"03 87 31 31 31 "</f>
        <v xml:space="preserve">03 87 31 31 31 </v>
      </c>
      <c r="K305" t="str">
        <f>"03 87 30 74 10"</f>
        <v>03 87 30 74 10</v>
      </c>
      <c r="L305" s="1">
        <v>44784</v>
      </c>
      <c r="M305" t="str">
        <f t="shared" si="52"/>
        <v>124</v>
      </c>
      <c r="N305" t="str">
        <f t="shared" si="53"/>
        <v>Centre de Santé</v>
      </c>
      <c r="O305" t="str">
        <f>"40"</f>
        <v>40</v>
      </c>
      <c r="P305" t="str">
        <f>"Régime Général de Sécurité Sociale"</f>
        <v>Régime Général de Sécurité Sociale</v>
      </c>
      <c r="Q305" t="str">
        <f t="shared" si="56"/>
        <v>36</v>
      </c>
      <c r="R305" t="str">
        <f t="shared" si="57"/>
        <v>Tarifs conventionnels assurance maladie</v>
      </c>
      <c r="U305" t="str">
        <f>"570010439"</f>
        <v>570010439</v>
      </c>
    </row>
    <row r="306" spans="1:21" x14ac:dyDescent="0.3">
      <c r="A306" t="str">
        <f>"830026597"</f>
        <v>830026597</v>
      </c>
      <c r="B306" t="str">
        <f>"905 376 281 00010"</f>
        <v>905 376 281 00010</v>
      </c>
      <c r="D306" t="str">
        <f>"CDS DRAGUIGNAN"</f>
        <v>CDS DRAGUIGNAN</v>
      </c>
      <c r="F306" t="str">
        <f>"16 RUE PIERRE CLEMENT"</f>
        <v>16 RUE PIERRE CLEMENT</v>
      </c>
      <c r="H306" t="str">
        <f>"83300"</f>
        <v>83300</v>
      </c>
      <c r="I306" t="str">
        <f>"DRAGUIGNAN"</f>
        <v>DRAGUIGNAN</v>
      </c>
      <c r="J306" t="str">
        <f>"06 79 57 51 66 "</f>
        <v xml:space="preserve">06 79 57 51 66 </v>
      </c>
      <c r="L306" s="1">
        <v>44782</v>
      </c>
      <c r="M306" t="str">
        <f t="shared" si="52"/>
        <v>124</v>
      </c>
      <c r="N306" t="str">
        <f t="shared" si="53"/>
        <v>Centre de Santé</v>
      </c>
      <c r="O306" t="str">
        <f>"60"</f>
        <v>60</v>
      </c>
      <c r="P306" t="str">
        <f>"Association Loi 1901 non Reconnue d'Utilité Publique"</f>
        <v>Association Loi 1901 non Reconnue d'Utilité Publique</v>
      </c>
      <c r="Q306" t="str">
        <f t="shared" si="56"/>
        <v>36</v>
      </c>
      <c r="R306" t="str">
        <f t="shared" si="57"/>
        <v>Tarifs conventionnels assurance maladie</v>
      </c>
      <c r="U306" t="str">
        <f>"830026589"</f>
        <v>830026589</v>
      </c>
    </row>
    <row r="307" spans="1:21" x14ac:dyDescent="0.3">
      <c r="A307" t="str">
        <f>"780029245"</f>
        <v>780029245</v>
      </c>
      <c r="B307" t="str">
        <f>"909 905 994 00010"</f>
        <v>909 905 994 00010</v>
      </c>
      <c r="D307" t="str">
        <f>"CDS DENTAIRE DENTISMART"</f>
        <v>CDS DENTAIRE DENTISMART</v>
      </c>
      <c r="F307" t="str">
        <f>"5 AVENUE DU MARECHAL FOCH"</f>
        <v>5 AVENUE DU MARECHAL FOCH</v>
      </c>
      <c r="H307" t="str">
        <f>"78400"</f>
        <v>78400</v>
      </c>
      <c r="I307" t="str">
        <f>"CHATOU"</f>
        <v>CHATOU</v>
      </c>
      <c r="J307" t="str">
        <f>"01 39 13 00 76 "</f>
        <v xml:space="preserve">01 39 13 00 76 </v>
      </c>
      <c r="L307" s="1">
        <v>44781</v>
      </c>
      <c r="M307" t="str">
        <f t="shared" si="52"/>
        <v>124</v>
      </c>
      <c r="N307" t="str">
        <f t="shared" si="53"/>
        <v>Centre de Santé</v>
      </c>
      <c r="O307" t="str">
        <f>"60"</f>
        <v>60</v>
      </c>
      <c r="P307" t="str">
        <f>"Association Loi 1901 non Reconnue d'Utilité Publique"</f>
        <v>Association Loi 1901 non Reconnue d'Utilité Publique</v>
      </c>
      <c r="Q307" t="str">
        <f t="shared" si="56"/>
        <v>36</v>
      </c>
      <c r="R307" t="str">
        <f t="shared" si="57"/>
        <v>Tarifs conventionnels assurance maladie</v>
      </c>
      <c r="U307" t="str">
        <f>"780029237"</f>
        <v>780029237</v>
      </c>
    </row>
    <row r="308" spans="1:21" x14ac:dyDescent="0.3">
      <c r="A308" t="str">
        <f>"070008271"</f>
        <v>070008271</v>
      </c>
      <c r="B308" t="str">
        <f>"210 702 551 00016"</f>
        <v>210 702 551 00016</v>
      </c>
      <c r="D308" t="str">
        <f>"CENTRE DE SANTE VALLEE DE L'OUVEZE"</f>
        <v>CENTRE DE SANTE VALLEE DE L'OUVEZE</v>
      </c>
      <c r="F308" t="str">
        <f>"1 PLACE FERNAND VINSON"</f>
        <v>1 PLACE FERNAND VINSON</v>
      </c>
      <c r="H308" t="str">
        <f>"07000"</f>
        <v>07000</v>
      </c>
      <c r="I308" t="str">
        <f>"ST JULIEN EN ST ALBAN"</f>
        <v>ST JULIEN EN ST ALBAN</v>
      </c>
      <c r="L308" s="1">
        <v>44774</v>
      </c>
      <c r="M308" t="str">
        <f t="shared" si="52"/>
        <v>124</v>
      </c>
      <c r="N308" t="str">
        <f t="shared" si="53"/>
        <v>Centre de Santé</v>
      </c>
      <c r="O308" t="str">
        <f>"03"</f>
        <v>03</v>
      </c>
      <c r="P308" t="str">
        <f>"Commune"</f>
        <v>Commune</v>
      </c>
      <c r="Q308" t="str">
        <f t="shared" si="56"/>
        <v>36</v>
      </c>
      <c r="R308" t="str">
        <f t="shared" si="57"/>
        <v>Tarifs conventionnels assurance maladie</v>
      </c>
      <c r="U308" t="str">
        <f>"070008263"</f>
        <v>070008263</v>
      </c>
    </row>
    <row r="309" spans="1:21" x14ac:dyDescent="0.3">
      <c r="A309" t="str">
        <f>"580006948"</f>
        <v>580006948</v>
      </c>
      <c r="B309" t="str">
        <f>"225 800 010 00012"</f>
        <v>225 800 010 00012</v>
      </c>
      <c r="D309" t="str">
        <f>"CENTRE SANTE TERRITORIALE LA MACHINE"</f>
        <v>CENTRE SANTE TERRITORIALE LA MACHINE</v>
      </c>
      <c r="F309" t="str">
        <f>"1 RUE PAUL VAILLANT"</f>
        <v>1 RUE PAUL VAILLANT</v>
      </c>
      <c r="H309" t="str">
        <f>"58260"</f>
        <v>58260</v>
      </c>
      <c r="I309" t="str">
        <f>"LA MACHINE"</f>
        <v>LA MACHINE</v>
      </c>
      <c r="L309" s="1">
        <v>44770</v>
      </c>
      <c r="M309" t="str">
        <f t="shared" si="52"/>
        <v>124</v>
      </c>
      <c r="N309" t="str">
        <f t="shared" si="53"/>
        <v>Centre de Santé</v>
      </c>
      <c r="O309" t="str">
        <f>"02"</f>
        <v>02</v>
      </c>
      <c r="P309" t="str">
        <f>"Département"</f>
        <v>Département</v>
      </c>
      <c r="Q309" t="str">
        <f t="shared" si="56"/>
        <v>36</v>
      </c>
      <c r="R309" t="str">
        <f t="shared" si="57"/>
        <v>Tarifs conventionnels assurance maladie</v>
      </c>
      <c r="U309" t="str">
        <f>"580970895"</f>
        <v>580970895</v>
      </c>
    </row>
    <row r="310" spans="1:21" x14ac:dyDescent="0.3">
      <c r="A310" t="str">
        <f>"440060416"</f>
        <v>440060416</v>
      </c>
      <c r="D310" t="str">
        <f>"CENTRE DE SANTE SECTEUR BRIERE"</f>
        <v>CENTRE DE SANTE SECTEUR BRIERE</v>
      </c>
      <c r="F310" t="str">
        <f>"24 RUE PAULINE KERGOMARD"</f>
        <v>24 RUE PAULINE KERGOMARD</v>
      </c>
      <c r="H310" t="str">
        <f>"44720"</f>
        <v>44720</v>
      </c>
      <c r="I310" t="str">
        <f>"ST JOACHIM"</f>
        <v>ST JOACHIM</v>
      </c>
      <c r="J310" t="str">
        <f>"02 40 88 43 02 "</f>
        <v xml:space="preserve">02 40 88 43 02 </v>
      </c>
      <c r="L310" s="1">
        <v>44767</v>
      </c>
      <c r="M310" t="str">
        <f t="shared" si="52"/>
        <v>124</v>
      </c>
      <c r="N310" t="str">
        <f t="shared" si="53"/>
        <v>Centre de Santé</v>
      </c>
      <c r="O310" t="str">
        <f>"60"</f>
        <v>60</v>
      </c>
      <c r="P310" t="str">
        <f>"Association Loi 1901 non Reconnue d'Utilité Publique"</f>
        <v>Association Loi 1901 non Reconnue d'Utilité Publique</v>
      </c>
      <c r="Q310" t="str">
        <f t="shared" si="56"/>
        <v>36</v>
      </c>
      <c r="R310" t="str">
        <f t="shared" si="57"/>
        <v>Tarifs conventionnels assurance maladie</v>
      </c>
      <c r="U310" t="str">
        <f>"440003895"</f>
        <v>440003895</v>
      </c>
    </row>
    <row r="311" spans="1:21" x14ac:dyDescent="0.3">
      <c r="A311" t="str">
        <f>"590068193"</f>
        <v>590068193</v>
      </c>
      <c r="B311" t="str">
        <f>"901 316 307 00031"</f>
        <v>901 316 307 00031</v>
      </c>
      <c r="D311" t="str">
        <f>"CDSM  MÉDIKSANTÉ"</f>
        <v>CDSM  MÉDIKSANTÉ</v>
      </c>
      <c r="F311" t="str">
        <f>"115 RUE NATIONALE"</f>
        <v>115 RUE NATIONALE</v>
      </c>
      <c r="H311" t="str">
        <f>"59800"</f>
        <v>59800</v>
      </c>
      <c r="I311" t="str">
        <f>"LILLE"</f>
        <v>LILLE</v>
      </c>
      <c r="L311" s="1">
        <v>44764</v>
      </c>
      <c r="M311" t="str">
        <f t="shared" si="52"/>
        <v>124</v>
      </c>
      <c r="N311" t="str">
        <f t="shared" si="53"/>
        <v>Centre de Santé</v>
      </c>
      <c r="O311" t="str">
        <f>"61"</f>
        <v>61</v>
      </c>
      <c r="P311" t="str">
        <f>"Association Loi 1901 Reconnue d'Utilité Publique"</f>
        <v>Association Loi 1901 Reconnue d'Utilité Publique</v>
      </c>
      <c r="Q311" t="str">
        <f t="shared" si="56"/>
        <v>36</v>
      </c>
      <c r="R311" t="str">
        <f t="shared" si="57"/>
        <v>Tarifs conventionnels assurance maladie</v>
      </c>
      <c r="U311" t="str">
        <f>"590068185"</f>
        <v>590068185</v>
      </c>
    </row>
    <row r="312" spans="1:21" x14ac:dyDescent="0.3">
      <c r="A312" t="str">
        <f>"760039370"</f>
        <v>760039370</v>
      </c>
      <c r="B312" t="str">
        <f>"893 365 973 00021"</f>
        <v>893 365 973 00021</v>
      </c>
      <c r="D312" t="str">
        <f>"CENTRE DENTAIRE ET MEDICAL"</f>
        <v>CENTRE DENTAIRE ET MEDICAL</v>
      </c>
      <c r="F312" t="str">
        <f>"905 CHEMIN DES VERTUS"</f>
        <v>905 CHEMIN DES VERTUS</v>
      </c>
      <c r="H312" t="str">
        <f>"76550"</f>
        <v>76550</v>
      </c>
      <c r="I312" t="str">
        <f>"ST AUBIN SUR SCIE"</f>
        <v>ST AUBIN SUR SCIE</v>
      </c>
      <c r="J312" t="str">
        <f>"02 35 84 35 81 "</f>
        <v xml:space="preserve">02 35 84 35 81 </v>
      </c>
      <c r="L312" s="1">
        <v>44764</v>
      </c>
      <c r="M312" t="str">
        <f t="shared" si="52"/>
        <v>124</v>
      </c>
      <c r="N312" t="str">
        <f t="shared" si="53"/>
        <v>Centre de Santé</v>
      </c>
      <c r="O312" t="str">
        <f>"60"</f>
        <v>60</v>
      </c>
      <c r="P312" t="str">
        <f>"Association Loi 1901 non Reconnue d'Utilité Publique"</f>
        <v>Association Loi 1901 non Reconnue d'Utilité Publique</v>
      </c>
      <c r="Q312" t="str">
        <f t="shared" si="56"/>
        <v>36</v>
      </c>
      <c r="R312" t="str">
        <f t="shared" si="57"/>
        <v>Tarifs conventionnels assurance maladie</v>
      </c>
      <c r="U312" t="str">
        <f>"760039362"</f>
        <v>760039362</v>
      </c>
    </row>
    <row r="313" spans="1:21" x14ac:dyDescent="0.3">
      <c r="A313" t="str">
        <f>"310033915"</f>
        <v>310033915</v>
      </c>
      <c r="B313" t="str">
        <f>"904 575 263 00010"</f>
        <v>904 575 263 00010</v>
      </c>
      <c r="D313" t="str">
        <f>"CENTRE OPHTALMOLOGIQUE COMPANS"</f>
        <v>CENTRE OPHTALMOLOGIQUE COMPANS</v>
      </c>
      <c r="F313" t="str">
        <f>"4 BOULEVARD LACROSSES"</f>
        <v>4 BOULEVARD LACROSSES</v>
      </c>
      <c r="H313" t="str">
        <f>"31500"</f>
        <v>31500</v>
      </c>
      <c r="I313" t="str">
        <f>"TOULOUSE"</f>
        <v>TOULOUSE</v>
      </c>
      <c r="L313" s="1">
        <v>44763</v>
      </c>
      <c r="M313" t="str">
        <f t="shared" si="52"/>
        <v>124</v>
      </c>
      <c r="N313" t="str">
        <f t="shared" si="53"/>
        <v>Centre de Santé</v>
      </c>
      <c r="O313" t="str">
        <f>"60"</f>
        <v>60</v>
      </c>
      <c r="P313" t="str">
        <f>"Association Loi 1901 non Reconnue d'Utilité Publique"</f>
        <v>Association Loi 1901 non Reconnue d'Utilité Publique</v>
      </c>
      <c r="Q313" t="str">
        <f t="shared" ref="Q313:Q344" si="58">"36"</f>
        <v>36</v>
      </c>
      <c r="R313" t="str">
        <f t="shared" ref="R313:R344" si="59">"Tarifs conventionnels assurance maladie"</f>
        <v>Tarifs conventionnels assurance maladie</v>
      </c>
      <c r="U313" t="str">
        <f>"310033907"</f>
        <v>310033907</v>
      </c>
    </row>
    <row r="314" spans="1:21" x14ac:dyDescent="0.3">
      <c r="A314" t="str">
        <f>"830026522"</f>
        <v>830026522</v>
      </c>
      <c r="B314" t="str">
        <f>"907 925 572 00014"</f>
        <v>907 925 572 00014</v>
      </c>
      <c r="D314" t="str">
        <f>"CDS JEAN JAURES"</f>
        <v>CDS JEAN JAURES</v>
      </c>
      <c r="F314" t="str">
        <f>"1 AVENUE JEAN JAURES"</f>
        <v>1 AVENUE JEAN JAURES</v>
      </c>
      <c r="H314" t="str">
        <f>"83400"</f>
        <v>83400</v>
      </c>
      <c r="I314" t="str">
        <f>"HYERES"</f>
        <v>HYERES</v>
      </c>
      <c r="J314" t="str">
        <f>"01 86 98 17 34 "</f>
        <v xml:space="preserve">01 86 98 17 34 </v>
      </c>
      <c r="L314" s="1">
        <v>44762</v>
      </c>
      <c r="M314" t="str">
        <f t="shared" si="52"/>
        <v>124</v>
      </c>
      <c r="N314" t="str">
        <f t="shared" si="53"/>
        <v>Centre de Santé</v>
      </c>
      <c r="O314" t="str">
        <f>"60"</f>
        <v>60</v>
      </c>
      <c r="P314" t="str">
        <f>"Association Loi 1901 non Reconnue d'Utilité Publique"</f>
        <v>Association Loi 1901 non Reconnue d'Utilité Publique</v>
      </c>
      <c r="Q314" t="str">
        <f t="shared" si="58"/>
        <v>36</v>
      </c>
      <c r="R314" t="str">
        <f t="shared" si="59"/>
        <v>Tarifs conventionnels assurance maladie</v>
      </c>
      <c r="U314" t="str">
        <f>"830026514"</f>
        <v>830026514</v>
      </c>
    </row>
    <row r="315" spans="1:21" x14ac:dyDescent="0.3">
      <c r="A315" t="str">
        <f>"940029481"</f>
        <v>940029481</v>
      </c>
      <c r="B315" t="str">
        <f>"911 825 677 00014"</f>
        <v>911 825 677 00014</v>
      </c>
      <c r="D315" t="str">
        <f>"CDS DENTAIRE OPHTALMOLOGIQUE LAPLACE"</f>
        <v>CDS DENTAIRE OPHTALMOLOGIQUE LAPLACE</v>
      </c>
      <c r="F315" t="str">
        <f>"47 AVENUE LAPLACE"</f>
        <v>47 AVENUE LAPLACE</v>
      </c>
      <c r="H315" t="str">
        <f>"94110"</f>
        <v>94110</v>
      </c>
      <c r="I315" t="str">
        <f>"ARCUEIL"</f>
        <v>ARCUEIL</v>
      </c>
      <c r="L315" s="1">
        <v>44762</v>
      </c>
      <c r="M315" t="str">
        <f t="shared" si="52"/>
        <v>124</v>
      </c>
      <c r="N315" t="str">
        <f t="shared" si="53"/>
        <v>Centre de Santé</v>
      </c>
      <c r="O315" t="str">
        <f>"60"</f>
        <v>60</v>
      </c>
      <c r="P315" t="str">
        <f>"Association Loi 1901 non Reconnue d'Utilité Publique"</f>
        <v>Association Loi 1901 non Reconnue d'Utilité Publique</v>
      </c>
      <c r="Q315" t="str">
        <f t="shared" si="58"/>
        <v>36</v>
      </c>
      <c r="R315" t="str">
        <f t="shared" si="59"/>
        <v>Tarifs conventionnels assurance maladie</v>
      </c>
      <c r="U315" t="str">
        <f>"940029473"</f>
        <v>940029473</v>
      </c>
    </row>
    <row r="316" spans="1:21" x14ac:dyDescent="0.3">
      <c r="A316" t="str">
        <f>"540026770"</f>
        <v>540026770</v>
      </c>
      <c r="B316" t="str">
        <f>"908 403 876 00018"</f>
        <v>908 403 876 00018</v>
      </c>
      <c r="D316" t="str">
        <f>"CENTRE DE SANTE DENTAIRE LAXOU"</f>
        <v>CENTRE DE SANTE DENTAIRE LAXOU</v>
      </c>
      <c r="F316" t="str">
        <f>"407 AVENUE DE BOUFFLERS"</f>
        <v>407 AVENUE DE BOUFFLERS</v>
      </c>
      <c r="H316" t="str">
        <f>"54520"</f>
        <v>54520</v>
      </c>
      <c r="I316" t="str">
        <f>"LAXOU"</f>
        <v>LAXOU</v>
      </c>
      <c r="J316" t="str">
        <f>"03 55 40 97 09 "</f>
        <v xml:space="preserve">03 55 40 97 09 </v>
      </c>
      <c r="L316" s="1">
        <v>44760</v>
      </c>
      <c r="M316" t="str">
        <f t="shared" si="52"/>
        <v>124</v>
      </c>
      <c r="N316" t="str">
        <f t="shared" si="53"/>
        <v>Centre de Santé</v>
      </c>
      <c r="O316" t="str">
        <f>"60"</f>
        <v>60</v>
      </c>
      <c r="P316" t="str">
        <f>"Association Loi 1901 non Reconnue d'Utilité Publique"</f>
        <v>Association Loi 1901 non Reconnue d'Utilité Publique</v>
      </c>
      <c r="Q316" t="str">
        <f t="shared" si="58"/>
        <v>36</v>
      </c>
      <c r="R316" t="str">
        <f t="shared" si="59"/>
        <v>Tarifs conventionnels assurance maladie</v>
      </c>
      <c r="U316" t="str">
        <f>"540026762"</f>
        <v>540026762</v>
      </c>
    </row>
    <row r="317" spans="1:21" x14ac:dyDescent="0.3">
      <c r="A317" t="str">
        <f>"630015717"</f>
        <v>630015717</v>
      </c>
      <c r="D317" t="str">
        <f>"CENTRE DE SANTE ST GERVAIS D'AUVERGNE"</f>
        <v>CENTRE DE SANTE ST GERVAIS D'AUVERGNE</v>
      </c>
      <c r="F317" t="str">
        <f>"RUE ETIENNE MAISON"</f>
        <v>RUE ETIENNE MAISON</v>
      </c>
      <c r="H317" t="str">
        <f>"63390"</f>
        <v>63390</v>
      </c>
      <c r="I317" t="str">
        <f>"ST GERVAIS D AUVERGNE"</f>
        <v>ST GERVAIS D AUVERGNE</v>
      </c>
      <c r="J317" t="str">
        <f>"04 28 00 63 63 "</f>
        <v xml:space="preserve">04 28 00 63 63 </v>
      </c>
      <c r="L317" s="1">
        <v>44760</v>
      </c>
      <c r="M317" t="str">
        <f t="shared" si="52"/>
        <v>124</v>
      </c>
      <c r="N317" t="str">
        <f t="shared" si="53"/>
        <v>Centre de Santé</v>
      </c>
      <c r="O317" t="str">
        <f>"02"</f>
        <v>02</v>
      </c>
      <c r="P317" t="str">
        <f>"Département"</f>
        <v>Département</v>
      </c>
      <c r="Q317" t="str">
        <f t="shared" si="58"/>
        <v>36</v>
      </c>
      <c r="R317" t="str">
        <f t="shared" si="59"/>
        <v>Tarifs conventionnels assurance maladie</v>
      </c>
      <c r="U317" t="str">
        <f>"630788040"</f>
        <v>630788040</v>
      </c>
    </row>
    <row r="318" spans="1:21" x14ac:dyDescent="0.3">
      <c r="A318" t="str">
        <f>"910026038"</f>
        <v>910026038</v>
      </c>
      <c r="B318" t="str">
        <f>"891 869 927 00014"</f>
        <v>891 869 927 00014</v>
      </c>
      <c r="D318" t="str">
        <f>"CDS LONGJUMEAU"</f>
        <v>CDS LONGJUMEAU</v>
      </c>
      <c r="F318" t="str">
        <f>"12 PLACE CHARLES STEBER"</f>
        <v>12 PLACE CHARLES STEBER</v>
      </c>
      <c r="H318" t="str">
        <f>"91160"</f>
        <v>91160</v>
      </c>
      <c r="I318" t="str">
        <f>"LONGJUMEAU"</f>
        <v>LONGJUMEAU</v>
      </c>
      <c r="L318" s="1">
        <v>44760</v>
      </c>
      <c r="M318" t="str">
        <f t="shared" si="52"/>
        <v>124</v>
      </c>
      <c r="N318" t="str">
        <f t="shared" si="53"/>
        <v>Centre de Santé</v>
      </c>
      <c r="O318" t="str">
        <f t="shared" ref="O318:O333" si="60">"60"</f>
        <v>60</v>
      </c>
      <c r="P318" t="str">
        <f t="shared" ref="P318:P333" si="61">"Association Loi 1901 non Reconnue d'Utilité Publique"</f>
        <v>Association Loi 1901 non Reconnue d'Utilité Publique</v>
      </c>
      <c r="Q318" t="str">
        <f t="shared" si="58"/>
        <v>36</v>
      </c>
      <c r="R318" t="str">
        <f t="shared" si="59"/>
        <v>Tarifs conventionnels assurance maladie</v>
      </c>
      <c r="U318" t="str">
        <f>"910026020"</f>
        <v>910026020</v>
      </c>
    </row>
    <row r="319" spans="1:21" x14ac:dyDescent="0.3">
      <c r="A319" t="str">
        <f>"910026400"</f>
        <v>910026400</v>
      </c>
      <c r="B319" t="str">
        <f>"911 185 288 00014"</f>
        <v>911 185 288 00014</v>
      </c>
      <c r="D319" t="str">
        <f>"CDS DENTAIRE DE JUVISY GARE"</f>
        <v>CDS DENTAIRE DE JUVISY GARE</v>
      </c>
      <c r="F319" t="str">
        <f>"2 RUE DANTON"</f>
        <v>2 RUE DANTON</v>
      </c>
      <c r="H319" t="str">
        <f>"91260"</f>
        <v>91260</v>
      </c>
      <c r="I319" t="str">
        <f>"JUVISY SUR ORGE"</f>
        <v>JUVISY SUR ORGE</v>
      </c>
      <c r="J319" t="str">
        <f>"01 87 53 56 66 "</f>
        <v xml:space="preserve">01 87 53 56 66 </v>
      </c>
      <c r="L319" s="1">
        <v>44760</v>
      </c>
      <c r="M319" t="str">
        <f t="shared" si="52"/>
        <v>124</v>
      </c>
      <c r="N319" t="str">
        <f t="shared" si="53"/>
        <v>Centre de Santé</v>
      </c>
      <c r="O319" t="str">
        <f t="shared" si="60"/>
        <v>60</v>
      </c>
      <c r="P319" t="str">
        <f t="shared" si="61"/>
        <v>Association Loi 1901 non Reconnue d'Utilité Publique</v>
      </c>
      <c r="Q319" t="str">
        <f t="shared" si="58"/>
        <v>36</v>
      </c>
      <c r="R319" t="str">
        <f t="shared" si="59"/>
        <v>Tarifs conventionnels assurance maladie</v>
      </c>
      <c r="U319" t="str">
        <f>"750070708"</f>
        <v>750070708</v>
      </c>
    </row>
    <row r="320" spans="1:21" x14ac:dyDescent="0.3">
      <c r="A320" t="str">
        <f>"930031182"</f>
        <v>930031182</v>
      </c>
      <c r="B320" t="str">
        <f>"900 194 291 00010"</f>
        <v>900 194 291 00010</v>
      </c>
      <c r="D320" t="str">
        <f>"CDS NEUILLY PLAISANCE RER"</f>
        <v>CDS NEUILLY PLAISANCE RER</v>
      </c>
      <c r="E320" t="str">
        <f>"2-4"</f>
        <v>2-4</v>
      </c>
      <c r="F320" t="str">
        <f>"2 BOULEVARD GALLIENI"</f>
        <v>2 BOULEVARD GALLIENI</v>
      </c>
      <c r="H320" t="str">
        <f>"93360"</f>
        <v>93360</v>
      </c>
      <c r="I320" t="str">
        <f>"NEUILLY PLAISANCE"</f>
        <v>NEUILLY PLAISANCE</v>
      </c>
      <c r="J320" t="str">
        <f>"01 43 00 38 38 "</f>
        <v xml:space="preserve">01 43 00 38 38 </v>
      </c>
      <c r="L320" s="1">
        <v>44760</v>
      </c>
      <c r="M320" t="str">
        <f t="shared" si="52"/>
        <v>124</v>
      </c>
      <c r="N320" t="str">
        <f t="shared" si="53"/>
        <v>Centre de Santé</v>
      </c>
      <c r="O320" t="str">
        <f t="shared" si="60"/>
        <v>60</v>
      </c>
      <c r="P320" t="str">
        <f t="shared" si="61"/>
        <v>Association Loi 1901 non Reconnue d'Utilité Publique</v>
      </c>
      <c r="Q320" t="str">
        <f t="shared" si="58"/>
        <v>36</v>
      </c>
      <c r="R320" t="str">
        <f t="shared" si="59"/>
        <v>Tarifs conventionnels assurance maladie</v>
      </c>
      <c r="U320" t="str">
        <f>"930031174"</f>
        <v>930031174</v>
      </c>
    </row>
    <row r="321" spans="1:21" x14ac:dyDescent="0.3">
      <c r="A321" t="str">
        <f>"930031901"</f>
        <v>930031901</v>
      </c>
      <c r="B321" t="str">
        <f>"909 541 492 00015"</f>
        <v>909 541 492 00015</v>
      </c>
      <c r="D321" t="str">
        <f>"CDS MEDICAL OPHTALMOLOGIE MNH OPHTA"</f>
        <v>CDS MEDICAL OPHTALMOLOGIE MNH OPHTA</v>
      </c>
      <c r="F321" t="str">
        <f>"2 PASSAGE DU SAULGER"</f>
        <v>2 PASSAGE DU SAULGER</v>
      </c>
      <c r="H321" t="str">
        <f>"93200"</f>
        <v>93200</v>
      </c>
      <c r="I321" t="str">
        <f>"ST DENIS"</f>
        <v>ST DENIS</v>
      </c>
      <c r="J321" t="str">
        <f>"07 64 83 19 33 "</f>
        <v xml:space="preserve">07 64 83 19 33 </v>
      </c>
      <c r="L321" s="1">
        <v>44760</v>
      </c>
      <c r="M321" t="str">
        <f t="shared" si="52"/>
        <v>124</v>
      </c>
      <c r="N321" t="str">
        <f t="shared" si="53"/>
        <v>Centre de Santé</v>
      </c>
      <c r="O321" t="str">
        <f t="shared" si="60"/>
        <v>60</v>
      </c>
      <c r="P321" t="str">
        <f t="shared" si="61"/>
        <v>Association Loi 1901 non Reconnue d'Utilité Publique</v>
      </c>
      <c r="Q321" t="str">
        <f t="shared" si="58"/>
        <v>36</v>
      </c>
      <c r="R321" t="str">
        <f t="shared" si="59"/>
        <v>Tarifs conventionnels assurance maladie</v>
      </c>
      <c r="U321" t="str">
        <f>"930031893"</f>
        <v>930031893</v>
      </c>
    </row>
    <row r="322" spans="1:21" x14ac:dyDescent="0.3">
      <c r="A322" t="str">
        <f>"750069478"</f>
        <v>750069478</v>
      </c>
      <c r="B322" t="str">
        <f>"903 669 281 00011"</f>
        <v>903 669 281 00011</v>
      </c>
      <c r="D322" t="str">
        <f>"CDS ET OPHTALMOLOGIE LARIBOISIERE"</f>
        <v>CDS ET OPHTALMOLOGIE LARIBOISIERE</v>
      </c>
      <c r="E322" t="str">
        <f>"40-42"</f>
        <v>40-42</v>
      </c>
      <c r="F322" t="str">
        <f>"40 RUE DE LA CHARBONNIERE"</f>
        <v>40 RUE DE LA CHARBONNIERE</v>
      </c>
      <c r="H322" t="str">
        <f>"75018"</f>
        <v>75018</v>
      </c>
      <c r="I322" t="str">
        <f>"PARIS"</f>
        <v>PARIS</v>
      </c>
      <c r="J322" t="str">
        <f>"06 61 85 81 06 "</f>
        <v xml:space="preserve">06 61 85 81 06 </v>
      </c>
      <c r="L322" s="1">
        <v>44757</v>
      </c>
      <c r="M322" t="str">
        <f t="shared" ref="M322:M385" si="62">"124"</f>
        <v>124</v>
      </c>
      <c r="N322" t="str">
        <f t="shared" ref="N322:N385" si="63">"Centre de Santé"</f>
        <v>Centre de Santé</v>
      </c>
      <c r="O322" t="str">
        <f t="shared" si="60"/>
        <v>60</v>
      </c>
      <c r="P322" t="str">
        <f t="shared" si="61"/>
        <v>Association Loi 1901 non Reconnue d'Utilité Publique</v>
      </c>
      <c r="Q322" t="str">
        <f t="shared" si="58"/>
        <v>36</v>
      </c>
      <c r="R322" t="str">
        <f t="shared" si="59"/>
        <v>Tarifs conventionnels assurance maladie</v>
      </c>
      <c r="U322" t="str">
        <f>"750069460"</f>
        <v>750069460</v>
      </c>
    </row>
    <row r="323" spans="1:21" x14ac:dyDescent="0.3">
      <c r="A323" t="str">
        <f>"770026128"</f>
        <v>770026128</v>
      </c>
      <c r="B323" t="str">
        <f>"904 475 613 00017"</f>
        <v>904 475 613 00017</v>
      </c>
      <c r="D323" t="str">
        <f>"CDS DENTAIRE DE MOISSSY"</f>
        <v>CDS DENTAIRE DE MOISSSY</v>
      </c>
      <c r="F323" t="str">
        <f>"290 AVENUE PHILIPPE BUR"</f>
        <v>290 AVENUE PHILIPPE BUR</v>
      </c>
      <c r="H323" t="str">
        <f>"77550"</f>
        <v>77550</v>
      </c>
      <c r="I323" t="str">
        <f>"MOISSY CRAMAYEL"</f>
        <v>MOISSY CRAMAYEL</v>
      </c>
      <c r="J323" t="str">
        <f>"06 48 28 76 54 "</f>
        <v xml:space="preserve">06 48 28 76 54 </v>
      </c>
      <c r="L323" s="1">
        <v>44757</v>
      </c>
      <c r="M323" t="str">
        <f t="shared" si="62"/>
        <v>124</v>
      </c>
      <c r="N323" t="str">
        <f t="shared" si="63"/>
        <v>Centre de Santé</v>
      </c>
      <c r="O323" t="str">
        <f t="shared" si="60"/>
        <v>60</v>
      </c>
      <c r="P323" t="str">
        <f t="shared" si="61"/>
        <v>Association Loi 1901 non Reconnue d'Utilité Publique</v>
      </c>
      <c r="Q323" t="str">
        <f t="shared" si="58"/>
        <v>36</v>
      </c>
      <c r="R323" t="str">
        <f t="shared" si="59"/>
        <v>Tarifs conventionnels assurance maladie</v>
      </c>
      <c r="U323" t="str">
        <f>"770026110"</f>
        <v>770026110</v>
      </c>
    </row>
    <row r="324" spans="1:21" x14ac:dyDescent="0.3">
      <c r="A324" t="str">
        <f>"910026392"</f>
        <v>910026392</v>
      </c>
      <c r="B324" t="str">
        <f>"913 479 382 00016"</f>
        <v>913 479 382 00016</v>
      </c>
      <c r="D324" t="str">
        <f>"CDS DENTAIRE ATHIS MONS"</f>
        <v>CDS DENTAIRE ATHIS MONS</v>
      </c>
      <c r="F324" t="str">
        <f>"27 AVENUE FRANCOIS MITTERAND"</f>
        <v>27 AVENUE FRANCOIS MITTERAND</v>
      </c>
      <c r="H324" t="str">
        <f>"91200"</f>
        <v>91200</v>
      </c>
      <c r="I324" t="str">
        <f>"ATHIS MONS"</f>
        <v>ATHIS MONS</v>
      </c>
      <c r="J324" t="str">
        <f>"01 86 24 26 26 "</f>
        <v xml:space="preserve">01 86 24 26 26 </v>
      </c>
      <c r="L324" s="1">
        <v>44757</v>
      </c>
      <c r="M324" t="str">
        <f t="shared" si="62"/>
        <v>124</v>
      </c>
      <c r="N324" t="str">
        <f t="shared" si="63"/>
        <v>Centre de Santé</v>
      </c>
      <c r="O324" t="str">
        <f t="shared" si="60"/>
        <v>60</v>
      </c>
      <c r="P324" t="str">
        <f t="shared" si="61"/>
        <v>Association Loi 1901 non Reconnue d'Utilité Publique</v>
      </c>
      <c r="Q324" t="str">
        <f t="shared" si="58"/>
        <v>36</v>
      </c>
      <c r="R324" t="str">
        <f t="shared" si="59"/>
        <v>Tarifs conventionnels assurance maladie</v>
      </c>
      <c r="U324" t="str">
        <f>"910026384"</f>
        <v>910026384</v>
      </c>
    </row>
    <row r="325" spans="1:21" x14ac:dyDescent="0.3">
      <c r="A325" t="str">
        <f>"920039187"</f>
        <v>920039187</v>
      </c>
      <c r="B325" t="str">
        <f>"911 279 669 00012"</f>
        <v>911 279 669 00012</v>
      </c>
      <c r="D325" t="str">
        <f>"CDS OPHTALMOLOGIQUE ET MEDICAL"</f>
        <v>CDS OPHTALMOLOGIQUE ET MEDICAL</v>
      </c>
      <c r="F325" t="str">
        <f>"24 RUE MAURICE LABROUSSE"</f>
        <v>24 RUE MAURICE LABROUSSE</v>
      </c>
      <c r="H325" t="str">
        <f>"92160"</f>
        <v>92160</v>
      </c>
      <c r="I325" t="str">
        <f>"ANTONY"</f>
        <v>ANTONY</v>
      </c>
      <c r="J325" t="str">
        <f>"01 84 99 11 55 "</f>
        <v xml:space="preserve">01 84 99 11 55 </v>
      </c>
      <c r="L325" s="1">
        <v>44757</v>
      </c>
      <c r="M325" t="str">
        <f t="shared" si="62"/>
        <v>124</v>
      </c>
      <c r="N325" t="str">
        <f t="shared" si="63"/>
        <v>Centre de Santé</v>
      </c>
      <c r="O325" t="str">
        <f t="shared" si="60"/>
        <v>60</v>
      </c>
      <c r="P325" t="str">
        <f t="shared" si="61"/>
        <v>Association Loi 1901 non Reconnue d'Utilité Publique</v>
      </c>
      <c r="Q325" t="str">
        <f t="shared" si="58"/>
        <v>36</v>
      </c>
      <c r="R325" t="str">
        <f t="shared" si="59"/>
        <v>Tarifs conventionnels assurance maladie</v>
      </c>
      <c r="U325" t="str">
        <f>"920039179"</f>
        <v>920039179</v>
      </c>
    </row>
    <row r="326" spans="1:21" x14ac:dyDescent="0.3">
      <c r="A326" t="str">
        <f>"930031927"</f>
        <v>930031927</v>
      </c>
      <c r="B326" t="str">
        <f>"908 576 143 00014"</f>
        <v>908 576 143 00014</v>
      </c>
      <c r="D326" t="str">
        <f>"CDS CEMEDIQ PARIS"</f>
        <v>CDS CEMEDIQ PARIS</v>
      </c>
      <c r="F326" t="str">
        <f>"100 RUE GABRIEL PARI"</f>
        <v>100 RUE GABRIEL PARI</v>
      </c>
      <c r="H326" t="str">
        <f>"93200"</f>
        <v>93200</v>
      </c>
      <c r="I326" t="str">
        <f>"ST DENIS"</f>
        <v>ST DENIS</v>
      </c>
      <c r="J326" t="str">
        <f>"07 52 18 87 60 "</f>
        <v xml:space="preserve">07 52 18 87 60 </v>
      </c>
      <c r="L326" s="1">
        <v>44757</v>
      </c>
      <c r="M326" t="str">
        <f t="shared" si="62"/>
        <v>124</v>
      </c>
      <c r="N326" t="str">
        <f t="shared" si="63"/>
        <v>Centre de Santé</v>
      </c>
      <c r="O326" t="str">
        <f t="shared" si="60"/>
        <v>60</v>
      </c>
      <c r="P326" t="str">
        <f t="shared" si="61"/>
        <v>Association Loi 1901 non Reconnue d'Utilité Publique</v>
      </c>
      <c r="Q326" t="str">
        <f t="shared" si="58"/>
        <v>36</v>
      </c>
      <c r="R326" t="str">
        <f t="shared" si="59"/>
        <v>Tarifs conventionnels assurance maladie</v>
      </c>
      <c r="U326" t="str">
        <f>"930031919"</f>
        <v>930031919</v>
      </c>
    </row>
    <row r="327" spans="1:21" x14ac:dyDescent="0.3">
      <c r="A327" t="str">
        <f>"950046326"</f>
        <v>950046326</v>
      </c>
      <c r="B327" t="str">
        <f>"901 836 304 00013"</f>
        <v>901 836 304 00013</v>
      </c>
      <c r="D327" t="str">
        <f>"CDS OPHTALMOLOGIQUE A L’OEIL"</f>
        <v>CDS OPHTALMOLOGIQUE A L’OEIL</v>
      </c>
      <c r="F327" t="str">
        <f>"72 RUE DE PARIS"</f>
        <v>72 RUE DE PARIS</v>
      </c>
      <c r="H327" t="str">
        <f>"95350"</f>
        <v>95350</v>
      </c>
      <c r="I327" t="str">
        <f>"ST BRICE SOUS FORET"</f>
        <v>ST BRICE SOUS FORET</v>
      </c>
      <c r="J327" t="str">
        <f>"09 83 36 74 68 "</f>
        <v xml:space="preserve">09 83 36 74 68 </v>
      </c>
      <c r="L327" s="1">
        <v>44757</v>
      </c>
      <c r="M327" t="str">
        <f t="shared" si="62"/>
        <v>124</v>
      </c>
      <c r="N327" t="str">
        <f t="shared" si="63"/>
        <v>Centre de Santé</v>
      </c>
      <c r="O327" t="str">
        <f t="shared" si="60"/>
        <v>60</v>
      </c>
      <c r="P327" t="str">
        <f t="shared" si="61"/>
        <v>Association Loi 1901 non Reconnue d'Utilité Publique</v>
      </c>
      <c r="Q327" t="str">
        <f t="shared" si="58"/>
        <v>36</v>
      </c>
      <c r="R327" t="str">
        <f t="shared" si="59"/>
        <v>Tarifs conventionnels assurance maladie</v>
      </c>
      <c r="U327" t="str">
        <f>"950046318"</f>
        <v>950046318</v>
      </c>
    </row>
    <row r="328" spans="1:21" x14ac:dyDescent="0.3">
      <c r="A328" t="str">
        <f>"460007644"</f>
        <v>460007644</v>
      </c>
      <c r="B328" t="str">
        <f>"904 759 842 00019"</f>
        <v>904 759 842 00019</v>
      </c>
      <c r="D328" t="str">
        <f>"CENTRE DE SANTÉ DE CASTELNAU"</f>
        <v>CENTRE DE SANTÉ DE CASTELNAU</v>
      </c>
      <c r="F328" t="str">
        <f>"1 PLACE GAMBETTA"</f>
        <v>1 PLACE GAMBETTA</v>
      </c>
      <c r="H328" t="str">
        <f>"46170"</f>
        <v>46170</v>
      </c>
      <c r="I328" t="str">
        <f>"CASTELNAU MONTRATIER STE A"</f>
        <v>CASTELNAU MONTRATIER STE A</v>
      </c>
      <c r="L328" s="1">
        <v>44754</v>
      </c>
      <c r="M328" t="str">
        <f t="shared" si="62"/>
        <v>124</v>
      </c>
      <c r="N328" t="str">
        <f t="shared" si="63"/>
        <v>Centre de Santé</v>
      </c>
      <c r="O328" t="str">
        <f t="shared" si="60"/>
        <v>60</v>
      </c>
      <c r="P328" t="str">
        <f t="shared" si="61"/>
        <v>Association Loi 1901 non Reconnue d'Utilité Publique</v>
      </c>
      <c r="Q328" t="str">
        <f t="shared" si="58"/>
        <v>36</v>
      </c>
      <c r="R328" t="str">
        <f t="shared" si="59"/>
        <v>Tarifs conventionnels assurance maladie</v>
      </c>
      <c r="U328" t="str">
        <f>"460007636"</f>
        <v>460007636</v>
      </c>
    </row>
    <row r="329" spans="1:21" x14ac:dyDescent="0.3">
      <c r="A329" t="str">
        <f>"920039203"</f>
        <v>920039203</v>
      </c>
      <c r="B329" t="str">
        <f>"911 853 810 00016"</f>
        <v>911 853 810 00016</v>
      </c>
      <c r="D329" t="str">
        <f>"CDS MEDICO DENTAIRE COURBEVOIE CHARRAS"</f>
        <v>CDS MEDICO DENTAIRE COURBEVOIE CHARRAS</v>
      </c>
      <c r="F329" t="str">
        <f>"20 RUE DE BEZONS"</f>
        <v>20 RUE DE BEZONS</v>
      </c>
      <c r="H329" t="str">
        <f>"92400"</f>
        <v>92400</v>
      </c>
      <c r="I329" t="str">
        <f>"COURBEVOIE"</f>
        <v>COURBEVOIE</v>
      </c>
      <c r="J329" t="str">
        <f>"06 21 99 25 80 "</f>
        <v xml:space="preserve">06 21 99 25 80 </v>
      </c>
      <c r="L329" s="1">
        <v>44754</v>
      </c>
      <c r="M329" t="str">
        <f t="shared" si="62"/>
        <v>124</v>
      </c>
      <c r="N329" t="str">
        <f t="shared" si="63"/>
        <v>Centre de Santé</v>
      </c>
      <c r="O329" t="str">
        <f t="shared" si="60"/>
        <v>60</v>
      </c>
      <c r="P329" t="str">
        <f t="shared" si="61"/>
        <v>Association Loi 1901 non Reconnue d'Utilité Publique</v>
      </c>
      <c r="Q329" t="str">
        <f t="shared" si="58"/>
        <v>36</v>
      </c>
      <c r="R329" t="str">
        <f t="shared" si="59"/>
        <v>Tarifs conventionnels assurance maladie</v>
      </c>
      <c r="U329" t="str">
        <f>"920039195"</f>
        <v>920039195</v>
      </c>
    </row>
    <row r="330" spans="1:21" x14ac:dyDescent="0.3">
      <c r="A330" t="str">
        <f>"310033964"</f>
        <v>310033964</v>
      </c>
      <c r="B330" t="str">
        <f>"830 073 276 00289"</f>
        <v>830 073 276 00289</v>
      </c>
      <c r="D330" t="str">
        <f>"CENTRE DENTAIRE TOULOUSE CHAUBET"</f>
        <v>CENTRE DENTAIRE TOULOUSE CHAUBET</v>
      </c>
      <c r="F330" t="str">
        <f>"158 AVENUE JEAN CHAUBET"</f>
        <v>158 AVENUE JEAN CHAUBET</v>
      </c>
      <c r="H330" t="str">
        <f>"31500"</f>
        <v>31500</v>
      </c>
      <c r="I330" t="str">
        <f>"TOULOUSE"</f>
        <v>TOULOUSE</v>
      </c>
      <c r="J330" t="str">
        <f>"01 85 11 10 11 "</f>
        <v xml:space="preserve">01 85 11 10 11 </v>
      </c>
      <c r="L330" s="1">
        <v>44753</v>
      </c>
      <c r="M330" t="str">
        <f t="shared" si="62"/>
        <v>124</v>
      </c>
      <c r="N330" t="str">
        <f t="shared" si="63"/>
        <v>Centre de Santé</v>
      </c>
      <c r="O330" t="str">
        <f t="shared" si="60"/>
        <v>60</v>
      </c>
      <c r="P330" t="str">
        <f t="shared" si="61"/>
        <v>Association Loi 1901 non Reconnue d'Utilité Publique</v>
      </c>
      <c r="Q330" t="str">
        <f t="shared" si="58"/>
        <v>36</v>
      </c>
      <c r="R330" t="str">
        <f t="shared" si="59"/>
        <v>Tarifs conventionnels assurance maladie</v>
      </c>
      <c r="U330" t="str">
        <f>"750060345"</f>
        <v>750060345</v>
      </c>
    </row>
    <row r="331" spans="1:21" x14ac:dyDescent="0.3">
      <c r="A331" t="str">
        <f>"930032008"</f>
        <v>930032008</v>
      </c>
      <c r="B331" t="str">
        <f>"911 978 054 00011"</f>
        <v>911 978 054 00011</v>
      </c>
      <c r="D331" t="str">
        <f>"CDS MEDICAL ET DENTAIRE AKALYA"</f>
        <v>CDS MEDICAL ET DENTAIRE AKALYA</v>
      </c>
      <c r="E331" t="str">
        <f>"45-47"</f>
        <v>45-47</v>
      </c>
      <c r="F331" t="str">
        <f>"45 RUE DE L ARGONNE"</f>
        <v>45 RUE DE L ARGONNE</v>
      </c>
      <c r="H331" t="str">
        <f>"93290"</f>
        <v>93290</v>
      </c>
      <c r="I331" t="str">
        <f>"TREMBLAY EN FRANCE"</f>
        <v>TREMBLAY EN FRANCE</v>
      </c>
      <c r="J331" t="str">
        <f>"01 85 10 57 17 "</f>
        <v xml:space="preserve">01 85 10 57 17 </v>
      </c>
      <c r="L331" s="1">
        <v>44753</v>
      </c>
      <c r="M331" t="str">
        <f t="shared" si="62"/>
        <v>124</v>
      </c>
      <c r="N331" t="str">
        <f t="shared" si="63"/>
        <v>Centre de Santé</v>
      </c>
      <c r="O331" t="str">
        <f t="shared" si="60"/>
        <v>60</v>
      </c>
      <c r="P331" t="str">
        <f t="shared" si="61"/>
        <v>Association Loi 1901 non Reconnue d'Utilité Publique</v>
      </c>
      <c r="Q331" t="str">
        <f t="shared" si="58"/>
        <v>36</v>
      </c>
      <c r="R331" t="str">
        <f t="shared" si="59"/>
        <v>Tarifs conventionnels assurance maladie</v>
      </c>
      <c r="U331" t="str">
        <f>"930031992"</f>
        <v>930031992</v>
      </c>
    </row>
    <row r="332" spans="1:21" x14ac:dyDescent="0.3">
      <c r="A332" t="str">
        <f>"950046821"</f>
        <v>950046821</v>
      </c>
      <c r="B332" t="str">
        <f>"819 722 117 00010"</f>
        <v>819 722 117 00010</v>
      </c>
      <c r="D332" t="str">
        <f>"CDS LOUIS PASTEUR"</f>
        <v>CDS LOUIS PASTEUR</v>
      </c>
      <c r="F332" t="str">
        <f>"2 RUE DU VAL"</f>
        <v>2 RUE DU VAL</v>
      </c>
      <c r="H332" t="str">
        <f>"95220"</f>
        <v>95220</v>
      </c>
      <c r="I332" t="str">
        <f>"HERBLAY SUR SEINE"</f>
        <v>HERBLAY SUR SEINE</v>
      </c>
      <c r="J332" t="str">
        <f>"01 84 10 86 05 "</f>
        <v xml:space="preserve">01 84 10 86 05 </v>
      </c>
      <c r="L332" s="1">
        <v>44753</v>
      </c>
      <c r="M332" t="str">
        <f t="shared" si="62"/>
        <v>124</v>
      </c>
      <c r="N332" t="str">
        <f t="shared" si="63"/>
        <v>Centre de Santé</v>
      </c>
      <c r="O332" t="str">
        <f t="shared" si="60"/>
        <v>60</v>
      </c>
      <c r="P332" t="str">
        <f t="shared" si="61"/>
        <v>Association Loi 1901 non Reconnue d'Utilité Publique</v>
      </c>
      <c r="Q332" t="str">
        <f t="shared" si="58"/>
        <v>36</v>
      </c>
      <c r="R332" t="str">
        <f t="shared" si="59"/>
        <v>Tarifs conventionnels assurance maladie</v>
      </c>
      <c r="U332" t="str">
        <f>"780025318"</f>
        <v>780025318</v>
      </c>
    </row>
    <row r="333" spans="1:21" x14ac:dyDescent="0.3">
      <c r="A333" t="str">
        <f>"930032222"</f>
        <v>930032222</v>
      </c>
      <c r="B333" t="str">
        <f>"915 150 015 00013"</f>
        <v>915 150 015 00013</v>
      </c>
      <c r="D333" t="str">
        <f>"CDS ACCESS RADIOLOGIE"</f>
        <v>CDS ACCESS RADIOLOGIE</v>
      </c>
      <c r="F333" t="str">
        <f>"4 AVENUE HENRI VARAGNAT"</f>
        <v>4 AVENUE HENRI VARAGNAT</v>
      </c>
      <c r="H333" t="str">
        <f>"93140"</f>
        <v>93140</v>
      </c>
      <c r="I333" t="str">
        <f>"BONDY"</f>
        <v>BONDY</v>
      </c>
      <c r="J333" t="str">
        <f>"01 85 78 13 51 "</f>
        <v xml:space="preserve">01 85 78 13 51 </v>
      </c>
      <c r="L333" s="1">
        <v>44750</v>
      </c>
      <c r="M333" t="str">
        <f t="shared" si="62"/>
        <v>124</v>
      </c>
      <c r="N333" t="str">
        <f t="shared" si="63"/>
        <v>Centre de Santé</v>
      </c>
      <c r="O333" t="str">
        <f t="shared" si="60"/>
        <v>60</v>
      </c>
      <c r="P333" t="str">
        <f t="shared" si="61"/>
        <v>Association Loi 1901 non Reconnue d'Utilité Publique</v>
      </c>
      <c r="Q333" t="str">
        <f t="shared" si="58"/>
        <v>36</v>
      </c>
      <c r="R333" t="str">
        <f t="shared" si="59"/>
        <v>Tarifs conventionnels assurance maladie</v>
      </c>
      <c r="U333" t="str">
        <f>"930032214"</f>
        <v>930032214</v>
      </c>
    </row>
    <row r="334" spans="1:21" x14ac:dyDescent="0.3">
      <c r="A334" t="str">
        <f>"420789240"</f>
        <v>420789240</v>
      </c>
      <c r="B334" t="str">
        <f>"326 406 998 00178"</f>
        <v>326 406 998 00178</v>
      </c>
      <c r="D334" t="str">
        <f>"CENTRE DE SANTE MFL SAVIGNEUX"</f>
        <v>CENTRE DE SANTE MFL SAVIGNEUX</v>
      </c>
      <c r="F334" t="str">
        <f>"5 RUE DE LYON"</f>
        <v>5 RUE DE LYON</v>
      </c>
      <c r="H334" t="str">
        <f>"42600"</f>
        <v>42600</v>
      </c>
      <c r="I334" t="str">
        <f>"SAVIGNEUX"</f>
        <v>SAVIGNEUX</v>
      </c>
      <c r="J334" t="str">
        <f>"04 77 58 73 03 "</f>
        <v xml:space="preserve">04 77 58 73 03 </v>
      </c>
      <c r="K334" t="str">
        <f>"04 77 58 92 80"</f>
        <v>04 77 58 92 80</v>
      </c>
      <c r="L334" s="1">
        <v>44749</v>
      </c>
      <c r="M334" t="str">
        <f t="shared" si="62"/>
        <v>124</v>
      </c>
      <c r="N334" t="str">
        <f t="shared" si="63"/>
        <v>Centre de Santé</v>
      </c>
      <c r="O334" t="str">
        <f>"47"</f>
        <v>47</v>
      </c>
      <c r="P334" t="str">
        <f>"Société Mutualiste"</f>
        <v>Société Mutualiste</v>
      </c>
      <c r="Q334" t="str">
        <f t="shared" si="58"/>
        <v>36</v>
      </c>
      <c r="R334" t="str">
        <f t="shared" si="59"/>
        <v>Tarifs conventionnels assurance maladie</v>
      </c>
      <c r="U334" t="str">
        <f>"420001596"</f>
        <v>420001596</v>
      </c>
    </row>
    <row r="335" spans="1:21" x14ac:dyDescent="0.3">
      <c r="A335" t="str">
        <f>"750070377"</f>
        <v>750070377</v>
      </c>
      <c r="B335" t="str">
        <f>"910 114 115 00017"</f>
        <v>910 114 115 00017</v>
      </c>
      <c r="D335" t="str">
        <f>"CDS IYAR MEDICO DENTAL"</f>
        <v>CDS IYAR MEDICO DENTAL</v>
      </c>
      <c r="E335" t="str">
        <f>"85-87"</f>
        <v>85-87</v>
      </c>
      <c r="F335" t="str">
        <f>"85 AVENUE SIMON BOLIVAR"</f>
        <v>85 AVENUE SIMON BOLIVAR</v>
      </c>
      <c r="H335" t="str">
        <f>"75019"</f>
        <v>75019</v>
      </c>
      <c r="I335" t="str">
        <f>"PARIS"</f>
        <v>PARIS</v>
      </c>
      <c r="J335" t="str">
        <f>"06 15 59 14 55 "</f>
        <v xml:space="preserve">06 15 59 14 55 </v>
      </c>
      <c r="L335" s="1">
        <v>44748</v>
      </c>
      <c r="M335" t="str">
        <f t="shared" si="62"/>
        <v>124</v>
      </c>
      <c r="N335" t="str">
        <f t="shared" si="63"/>
        <v>Centre de Santé</v>
      </c>
      <c r="O335" t="str">
        <f t="shared" ref="O335:O342" si="64">"60"</f>
        <v>60</v>
      </c>
      <c r="P335" t="str">
        <f t="shared" ref="P335:P342" si="65">"Association Loi 1901 non Reconnue d'Utilité Publique"</f>
        <v>Association Loi 1901 non Reconnue d'Utilité Publique</v>
      </c>
      <c r="Q335" t="str">
        <f t="shared" si="58"/>
        <v>36</v>
      </c>
      <c r="R335" t="str">
        <f t="shared" si="59"/>
        <v>Tarifs conventionnels assurance maladie</v>
      </c>
      <c r="U335" t="str">
        <f>"750070369"</f>
        <v>750070369</v>
      </c>
    </row>
    <row r="336" spans="1:21" x14ac:dyDescent="0.3">
      <c r="A336" t="str">
        <f>"920039120"</f>
        <v>920039120</v>
      </c>
      <c r="B336" t="str">
        <f>"910 461 128 00019"</f>
        <v>910 461 128 00019</v>
      </c>
      <c r="D336" t="str">
        <f>"CDS DENTAIRE DE BAGNEUX"</f>
        <v>CDS DENTAIRE DE BAGNEUX</v>
      </c>
      <c r="F336" t="str">
        <f>"104 AVENUE ARISTIDE BRIAND"</f>
        <v>104 AVENUE ARISTIDE BRIAND</v>
      </c>
      <c r="H336" t="str">
        <f>"92220"</f>
        <v>92220</v>
      </c>
      <c r="I336" t="str">
        <f>"BAGNEUX"</f>
        <v>BAGNEUX</v>
      </c>
      <c r="J336" t="str">
        <f>"07 81 53 77 82 "</f>
        <v xml:space="preserve">07 81 53 77 82 </v>
      </c>
      <c r="L336" s="1">
        <v>44748</v>
      </c>
      <c r="M336" t="str">
        <f t="shared" si="62"/>
        <v>124</v>
      </c>
      <c r="N336" t="str">
        <f t="shared" si="63"/>
        <v>Centre de Santé</v>
      </c>
      <c r="O336" t="str">
        <f t="shared" si="64"/>
        <v>60</v>
      </c>
      <c r="P336" t="str">
        <f t="shared" si="65"/>
        <v>Association Loi 1901 non Reconnue d'Utilité Publique</v>
      </c>
      <c r="Q336" t="str">
        <f t="shared" si="58"/>
        <v>36</v>
      </c>
      <c r="R336" t="str">
        <f t="shared" si="59"/>
        <v>Tarifs conventionnels assurance maladie</v>
      </c>
      <c r="U336" t="str">
        <f>"920039112"</f>
        <v>920039112</v>
      </c>
    </row>
    <row r="337" spans="1:21" x14ac:dyDescent="0.3">
      <c r="A337" t="str">
        <f>"350055257"</f>
        <v>350055257</v>
      </c>
      <c r="B337" t="str">
        <f>"894 780 501 00025"</f>
        <v>894 780 501 00025</v>
      </c>
      <c r="D337" t="str">
        <f>"CDS DENTAIRE RENNES PACE"</f>
        <v>CDS DENTAIRE RENNES PACE</v>
      </c>
      <c r="E337" t="str">
        <f>"CC SHOPIN PACE ZONE RIVE OUEST"</f>
        <v>CC SHOPIN PACE ZONE RIVE OUEST</v>
      </c>
      <c r="F337" t="str">
        <f>"BOULEVARD DE LA GIRAUDAIS"</f>
        <v>BOULEVARD DE LA GIRAUDAIS</v>
      </c>
      <c r="H337" t="str">
        <f>"35740"</f>
        <v>35740</v>
      </c>
      <c r="I337" t="str">
        <f>"PACE"</f>
        <v>PACE</v>
      </c>
      <c r="J337" t="str">
        <f>"02 21 76 07 58 "</f>
        <v xml:space="preserve">02 21 76 07 58 </v>
      </c>
      <c r="L337" s="1">
        <v>44747</v>
      </c>
      <c r="M337" t="str">
        <f t="shared" si="62"/>
        <v>124</v>
      </c>
      <c r="N337" t="str">
        <f t="shared" si="63"/>
        <v>Centre de Santé</v>
      </c>
      <c r="O337" t="str">
        <f t="shared" si="64"/>
        <v>60</v>
      </c>
      <c r="P337" t="str">
        <f t="shared" si="65"/>
        <v>Association Loi 1901 non Reconnue d'Utilité Publique</v>
      </c>
      <c r="Q337" t="str">
        <f t="shared" si="58"/>
        <v>36</v>
      </c>
      <c r="R337" t="str">
        <f t="shared" si="59"/>
        <v>Tarifs conventionnels assurance maladie</v>
      </c>
      <c r="U337" t="str">
        <f>"350056396"</f>
        <v>350056396</v>
      </c>
    </row>
    <row r="338" spans="1:21" x14ac:dyDescent="0.3">
      <c r="A338" t="str">
        <f>"350055992"</f>
        <v>350055992</v>
      </c>
      <c r="B338" t="str">
        <f>"903 863 892 00019"</f>
        <v>903 863 892 00019</v>
      </c>
      <c r="D338" t="str">
        <f>"CENTRE RENNAIS D'OPHTALMOLOGIE"</f>
        <v>CENTRE RENNAIS D'OPHTALMOLOGIE</v>
      </c>
      <c r="F338" t="str">
        <f>"27 BOULEVARD SOLFERINO"</f>
        <v>27 BOULEVARD SOLFERINO</v>
      </c>
      <c r="H338" t="str">
        <f>"35000"</f>
        <v>35000</v>
      </c>
      <c r="I338" t="str">
        <f>"RENNES"</f>
        <v>RENNES</v>
      </c>
      <c r="L338" s="1">
        <v>44746</v>
      </c>
      <c r="M338" t="str">
        <f t="shared" si="62"/>
        <v>124</v>
      </c>
      <c r="N338" t="str">
        <f t="shared" si="63"/>
        <v>Centre de Santé</v>
      </c>
      <c r="O338" t="str">
        <f t="shared" si="64"/>
        <v>60</v>
      </c>
      <c r="P338" t="str">
        <f t="shared" si="65"/>
        <v>Association Loi 1901 non Reconnue d'Utilité Publique</v>
      </c>
      <c r="Q338" t="str">
        <f t="shared" si="58"/>
        <v>36</v>
      </c>
      <c r="R338" t="str">
        <f t="shared" si="59"/>
        <v>Tarifs conventionnels assurance maladie</v>
      </c>
      <c r="U338" t="str">
        <f>"220025209"</f>
        <v>220025209</v>
      </c>
    </row>
    <row r="339" spans="1:21" x14ac:dyDescent="0.3">
      <c r="A339" t="str">
        <f>"380026484"</f>
        <v>380026484</v>
      </c>
      <c r="B339" t="str">
        <f>"910 385 772 00017"</f>
        <v>910 385 772 00017</v>
      </c>
      <c r="D339" t="str">
        <f>"CENTRE DE SANTE ACCES VISION GRENOBLE"</f>
        <v>CENTRE DE SANTE ACCES VISION GRENOBLE</v>
      </c>
      <c r="F339" t="str">
        <f>"15 BOULEVARD EDOUARD REY"</f>
        <v>15 BOULEVARD EDOUARD REY</v>
      </c>
      <c r="H339" t="str">
        <f>"38000"</f>
        <v>38000</v>
      </c>
      <c r="I339" t="str">
        <f>"GRENOBLE"</f>
        <v>GRENOBLE</v>
      </c>
      <c r="L339" s="1">
        <v>44746</v>
      </c>
      <c r="M339" t="str">
        <f t="shared" si="62"/>
        <v>124</v>
      </c>
      <c r="N339" t="str">
        <f t="shared" si="63"/>
        <v>Centre de Santé</v>
      </c>
      <c r="O339" t="str">
        <f t="shared" si="64"/>
        <v>60</v>
      </c>
      <c r="P339" t="str">
        <f t="shared" si="65"/>
        <v>Association Loi 1901 non Reconnue d'Utilité Publique</v>
      </c>
      <c r="Q339" t="str">
        <f t="shared" si="58"/>
        <v>36</v>
      </c>
      <c r="R339" t="str">
        <f t="shared" si="59"/>
        <v>Tarifs conventionnels assurance maladie</v>
      </c>
      <c r="U339" t="str">
        <f>"940029267"</f>
        <v>940029267</v>
      </c>
    </row>
    <row r="340" spans="1:21" x14ac:dyDescent="0.3">
      <c r="A340" t="str">
        <f>"540026556"</f>
        <v>540026556</v>
      </c>
      <c r="B340" t="str">
        <f>"895 186 344 00027"</f>
        <v>895 186 344 00027</v>
      </c>
      <c r="D340" t="str">
        <f>"CENTRE DE SANTE AQODI NANCY"</f>
        <v>CENTRE DE SANTE AQODI NANCY</v>
      </c>
      <c r="F340" t="str">
        <f>"9 AVENUE DU RHIN"</f>
        <v>9 AVENUE DU RHIN</v>
      </c>
      <c r="H340" t="str">
        <f>"54520"</f>
        <v>54520</v>
      </c>
      <c r="I340" t="str">
        <f>"LAXOU"</f>
        <v>LAXOU</v>
      </c>
      <c r="J340" t="str">
        <f>"03 57 48 11 11 "</f>
        <v xml:space="preserve">03 57 48 11 11 </v>
      </c>
      <c r="L340" s="1">
        <v>44746</v>
      </c>
      <c r="M340" t="str">
        <f t="shared" si="62"/>
        <v>124</v>
      </c>
      <c r="N340" t="str">
        <f t="shared" si="63"/>
        <v>Centre de Santé</v>
      </c>
      <c r="O340" t="str">
        <f t="shared" si="64"/>
        <v>60</v>
      </c>
      <c r="P340" t="str">
        <f t="shared" si="65"/>
        <v>Association Loi 1901 non Reconnue d'Utilité Publique</v>
      </c>
      <c r="Q340" t="str">
        <f t="shared" si="58"/>
        <v>36</v>
      </c>
      <c r="R340" t="str">
        <f t="shared" si="59"/>
        <v>Tarifs conventionnels assurance maladie</v>
      </c>
      <c r="U340" t="str">
        <f>"750067324"</f>
        <v>750067324</v>
      </c>
    </row>
    <row r="341" spans="1:21" x14ac:dyDescent="0.3">
      <c r="A341" t="str">
        <f>"920039260"</f>
        <v>920039260</v>
      </c>
      <c r="B341" t="str">
        <f>"913 236 436 00014"</f>
        <v>913 236 436 00014</v>
      </c>
      <c r="D341" t="str">
        <f>"CDS DE VISION ET D OPHTALMOLOGIE"</f>
        <v>CDS DE VISION ET D OPHTALMOLOGIE</v>
      </c>
      <c r="F341" t="str">
        <f>"9 AVENUE DE VERDUN"</f>
        <v>9 AVENUE DE VERDUN</v>
      </c>
      <c r="H341" t="str">
        <f>"92320"</f>
        <v>92320</v>
      </c>
      <c r="I341" t="str">
        <f>"CHATILLON"</f>
        <v>CHATILLON</v>
      </c>
      <c r="J341" t="str">
        <f>"01 57 63 97 06 "</f>
        <v xml:space="preserve">01 57 63 97 06 </v>
      </c>
      <c r="L341" s="1">
        <v>44746</v>
      </c>
      <c r="M341" t="str">
        <f t="shared" si="62"/>
        <v>124</v>
      </c>
      <c r="N341" t="str">
        <f t="shared" si="63"/>
        <v>Centre de Santé</v>
      </c>
      <c r="O341" t="str">
        <f t="shared" si="64"/>
        <v>60</v>
      </c>
      <c r="P341" t="str">
        <f t="shared" si="65"/>
        <v>Association Loi 1901 non Reconnue d'Utilité Publique</v>
      </c>
      <c r="Q341" t="str">
        <f t="shared" si="58"/>
        <v>36</v>
      </c>
      <c r="R341" t="str">
        <f t="shared" si="59"/>
        <v>Tarifs conventionnels assurance maladie</v>
      </c>
      <c r="U341" t="str">
        <f>"920039252"</f>
        <v>920039252</v>
      </c>
    </row>
    <row r="342" spans="1:21" x14ac:dyDescent="0.3">
      <c r="A342" t="str">
        <f>"920039286"</f>
        <v>920039286</v>
      </c>
      <c r="B342" t="str">
        <f>"910 813 575 00016"</f>
        <v>910 813 575 00016</v>
      </c>
      <c r="D342" t="str">
        <f>"CDS ET D OPHTALMOLOGIE MEDECVISION"</f>
        <v>CDS ET D OPHTALMOLOGIE MEDECVISION</v>
      </c>
      <c r="F342" t="str">
        <f>"20 AVENUE MARCELIN BERTHELOT"</f>
        <v>20 AVENUE MARCELIN BERTHELOT</v>
      </c>
      <c r="H342" t="str">
        <f>"92320"</f>
        <v>92320</v>
      </c>
      <c r="I342" t="str">
        <f>"CHATILLON"</f>
        <v>CHATILLON</v>
      </c>
      <c r="J342" t="str">
        <f>"01 41 41 64 31 "</f>
        <v xml:space="preserve">01 41 41 64 31 </v>
      </c>
      <c r="L342" s="1">
        <v>44746</v>
      </c>
      <c r="M342" t="str">
        <f t="shared" si="62"/>
        <v>124</v>
      </c>
      <c r="N342" t="str">
        <f t="shared" si="63"/>
        <v>Centre de Santé</v>
      </c>
      <c r="O342" t="str">
        <f t="shared" si="64"/>
        <v>60</v>
      </c>
      <c r="P342" t="str">
        <f t="shared" si="65"/>
        <v>Association Loi 1901 non Reconnue d'Utilité Publique</v>
      </c>
      <c r="Q342" t="str">
        <f t="shared" si="58"/>
        <v>36</v>
      </c>
      <c r="R342" t="str">
        <f t="shared" si="59"/>
        <v>Tarifs conventionnels assurance maladie</v>
      </c>
      <c r="U342" t="str">
        <f>"920039278"</f>
        <v>920039278</v>
      </c>
    </row>
    <row r="343" spans="1:21" x14ac:dyDescent="0.3">
      <c r="A343" t="str">
        <f>"620036301"</f>
        <v>620036301</v>
      </c>
      <c r="B343" t="str">
        <f>"226 200 012 00012"</f>
        <v>226 200 012 00012</v>
      </c>
      <c r="D343" t="str">
        <f>"CDSM OYE-PLAGE"</f>
        <v>CDSM OYE-PLAGE</v>
      </c>
      <c r="F343" t="str">
        <f>"RUE DES ÉCOLES"</f>
        <v>RUE DES ÉCOLES</v>
      </c>
      <c r="H343" t="str">
        <f>"62215"</f>
        <v>62215</v>
      </c>
      <c r="I343" t="str">
        <f>"OYE PLAGE"</f>
        <v>OYE PLAGE</v>
      </c>
      <c r="J343" t="str">
        <f>"03 59 80 16 98 "</f>
        <v xml:space="preserve">03 59 80 16 98 </v>
      </c>
      <c r="L343" s="1">
        <v>44743</v>
      </c>
      <c r="M343" t="str">
        <f t="shared" si="62"/>
        <v>124</v>
      </c>
      <c r="N343" t="str">
        <f t="shared" si="63"/>
        <v>Centre de Santé</v>
      </c>
      <c r="O343" t="str">
        <f>"02"</f>
        <v>02</v>
      </c>
      <c r="P343" t="str">
        <f>"Département"</f>
        <v>Département</v>
      </c>
      <c r="Q343" t="str">
        <f t="shared" si="58"/>
        <v>36</v>
      </c>
      <c r="R343" t="str">
        <f t="shared" si="59"/>
        <v>Tarifs conventionnels assurance maladie</v>
      </c>
      <c r="U343" t="str">
        <f>"620111542"</f>
        <v>620111542</v>
      </c>
    </row>
    <row r="344" spans="1:21" x14ac:dyDescent="0.3">
      <c r="A344" t="str">
        <f>"630015741"</f>
        <v>630015741</v>
      </c>
      <c r="B344" t="str">
        <f>"891 527 483 00012"</f>
        <v>891 527 483 00012</v>
      </c>
      <c r="D344" t="str">
        <f>"CENTRE DE SANTE INFIRMIER LE QUAI"</f>
        <v>CENTRE DE SANTE INFIRMIER LE QUAI</v>
      </c>
      <c r="F344" t="str">
        <f>"3 QUAI DE LA PORTE NEUVE"</f>
        <v>3 QUAI DE LA PORTE NEUVE</v>
      </c>
      <c r="H344" t="str">
        <f>"63160"</f>
        <v>63160</v>
      </c>
      <c r="I344" t="str">
        <f>"BILLOM"</f>
        <v>BILLOM</v>
      </c>
      <c r="J344" t="str">
        <f>"04 43 57 09 40 "</f>
        <v xml:space="preserve">04 43 57 09 40 </v>
      </c>
      <c r="L344" s="1">
        <v>44743</v>
      </c>
      <c r="M344" t="str">
        <f t="shared" si="62"/>
        <v>124</v>
      </c>
      <c r="N344" t="str">
        <f t="shared" si="63"/>
        <v>Centre de Santé</v>
      </c>
      <c r="O344" t="str">
        <f>"60"</f>
        <v>60</v>
      </c>
      <c r="P344" t="str">
        <f>"Association Loi 1901 non Reconnue d'Utilité Publique"</f>
        <v>Association Loi 1901 non Reconnue d'Utilité Publique</v>
      </c>
      <c r="Q344" t="str">
        <f t="shared" si="58"/>
        <v>36</v>
      </c>
      <c r="R344" t="str">
        <f t="shared" si="59"/>
        <v>Tarifs conventionnels assurance maladie</v>
      </c>
      <c r="U344" t="str">
        <f>"630015733"</f>
        <v>630015733</v>
      </c>
    </row>
    <row r="345" spans="1:21" x14ac:dyDescent="0.3">
      <c r="A345" t="str">
        <f>"930030374"</f>
        <v>930030374</v>
      </c>
      <c r="B345" t="str">
        <f>"890 445 687 00019"</f>
        <v>890 445 687 00019</v>
      </c>
      <c r="D345" t="str">
        <f>"CDS DENTALIFE"</f>
        <v>CDS DENTALIFE</v>
      </c>
      <c r="F345" t="str">
        <f>"7 PLACE DU GENERAL LECLERC"</f>
        <v>7 PLACE DU GENERAL LECLERC</v>
      </c>
      <c r="H345" t="str">
        <f>"93600"</f>
        <v>93600</v>
      </c>
      <c r="I345" t="str">
        <f>"AULNAY SOUS BOIS"</f>
        <v>AULNAY SOUS BOIS</v>
      </c>
      <c r="J345" t="str">
        <f>"01 84 81 16 10 "</f>
        <v xml:space="preserve">01 84 81 16 10 </v>
      </c>
      <c r="L345" s="1">
        <v>44743</v>
      </c>
      <c r="M345" t="str">
        <f t="shared" si="62"/>
        <v>124</v>
      </c>
      <c r="N345" t="str">
        <f t="shared" si="63"/>
        <v>Centre de Santé</v>
      </c>
      <c r="O345" t="str">
        <f>"60"</f>
        <v>60</v>
      </c>
      <c r="P345" t="str">
        <f>"Association Loi 1901 non Reconnue d'Utilité Publique"</f>
        <v>Association Loi 1901 non Reconnue d'Utilité Publique</v>
      </c>
      <c r="Q345" t="str">
        <f t="shared" ref="Q345:Q351" si="66">"36"</f>
        <v>36</v>
      </c>
      <c r="R345" t="str">
        <f t="shared" ref="R345:R351" si="67">"Tarifs conventionnels assurance maladie"</f>
        <v>Tarifs conventionnels assurance maladie</v>
      </c>
      <c r="U345" t="str">
        <f>"930030366"</f>
        <v>930030366</v>
      </c>
    </row>
    <row r="346" spans="1:21" x14ac:dyDescent="0.3">
      <c r="A346" t="str">
        <f>"930031968"</f>
        <v>930031968</v>
      </c>
      <c r="B346" t="str">
        <f>"911 697 381 00018"</f>
        <v>911 697 381 00018</v>
      </c>
      <c r="D346" t="str">
        <f>"CDS MEDICAL OPHTALMO DENTAIRE DRANCY"</f>
        <v>CDS MEDICAL OPHTALMO DENTAIRE DRANCY</v>
      </c>
      <c r="F346" t="str">
        <f>"28 AVENUE MARCEAU"</f>
        <v>28 AVENUE MARCEAU</v>
      </c>
      <c r="H346" t="str">
        <f>"93700"</f>
        <v>93700</v>
      </c>
      <c r="I346" t="str">
        <f>"DRANCY"</f>
        <v>DRANCY</v>
      </c>
      <c r="J346" t="str">
        <f>"06 11 33 05 36 "</f>
        <v xml:space="preserve">06 11 33 05 36 </v>
      </c>
      <c r="L346" s="1">
        <v>44743</v>
      </c>
      <c r="M346" t="str">
        <f t="shared" si="62"/>
        <v>124</v>
      </c>
      <c r="N346" t="str">
        <f t="shared" si="63"/>
        <v>Centre de Santé</v>
      </c>
      <c r="O346" t="str">
        <f>"60"</f>
        <v>60</v>
      </c>
      <c r="P346" t="str">
        <f>"Association Loi 1901 non Reconnue d'Utilité Publique"</f>
        <v>Association Loi 1901 non Reconnue d'Utilité Publique</v>
      </c>
      <c r="Q346" t="str">
        <f t="shared" si="66"/>
        <v>36</v>
      </c>
      <c r="R346" t="str">
        <f t="shared" si="67"/>
        <v>Tarifs conventionnels assurance maladie</v>
      </c>
      <c r="U346" t="str">
        <f>"950046755"</f>
        <v>950046755</v>
      </c>
    </row>
    <row r="347" spans="1:21" x14ac:dyDescent="0.3">
      <c r="A347" t="str">
        <f>"780029187"</f>
        <v>780029187</v>
      </c>
      <c r="B347" t="str">
        <f>"910 708 064 00019"</f>
        <v>910 708 064 00019</v>
      </c>
      <c r="D347" t="str">
        <f>"CDS DENTAIRE DE MONTESSON"</f>
        <v>CDS DENTAIRE DE MONTESSON</v>
      </c>
      <c r="F347" t="str">
        <f>"27 RUE DU GENERAL LECLERC"</f>
        <v>27 RUE DU GENERAL LECLERC</v>
      </c>
      <c r="H347" t="str">
        <f>"78360"</f>
        <v>78360</v>
      </c>
      <c r="I347" t="str">
        <f>"MONTESSON"</f>
        <v>MONTESSON</v>
      </c>
      <c r="J347" t="str">
        <f>"06 17 89 49 12 "</f>
        <v xml:space="preserve">06 17 89 49 12 </v>
      </c>
      <c r="L347" s="1">
        <v>44742</v>
      </c>
      <c r="M347" t="str">
        <f t="shared" si="62"/>
        <v>124</v>
      </c>
      <c r="N347" t="str">
        <f t="shared" si="63"/>
        <v>Centre de Santé</v>
      </c>
      <c r="O347" t="str">
        <f>"60"</f>
        <v>60</v>
      </c>
      <c r="P347" t="str">
        <f>"Association Loi 1901 non Reconnue d'Utilité Publique"</f>
        <v>Association Loi 1901 non Reconnue d'Utilité Publique</v>
      </c>
      <c r="Q347" t="str">
        <f t="shared" si="66"/>
        <v>36</v>
      </c>
      <c r="R347" t="str">
        <f t="shared" si="67"/>
        <v>Tarifs conventionnels assurance maladie</v>
      </c>
      <c r="U347" t="str">
        <f>"780029179"</f>
        <v>780029179</v>
      </c>
    </row>
    <row r="348" spans="1:21" x14ac:dyDescent="0.3">
      <c r="A348" t="str">
        <f>"590068045"</f>
        <v>590068045</v>
      </c>
      <c r="B348" t="str">
        <f>"900 951 591 00016"</f>
        <v>900 951 591 00016</v>
      </c>
      <c r="D348" t="str">
        <f>"CSS DENTAIRE ET OPHTALMOLOGIE"</f>
        <v>CSS DENTAIRE ET OPHTALMOLOGIE</v>
      </c>
      <c r="F348" t="str">
        <f>"56 RUE FAIDHERBE"</f>
        <v>56 RUE FAIDHERBE</v>
      </c>
      <c r="H348" t="str">
        <f>"59000"</f>
        <v>59000</v>
      </c>
      <c r="I348" t="str">
        <f>"LILLE"</f>
        <v>LILLE</v>
      </c>
      <c r="L348" s="1">
        <v>44740</v>
      </c>
      <c r="M348" t="str">
        <f t="shared" si="62"/>
        <v>124</v>
      </c>
      <c r="N348" t="str">
        <f t="shared" si="63"/>
        <v>Centre de Santé</v>
      </c>
      <c r="O348" t="str">
        <f>"61"</f>
        <v>61</v>
      </c>
      <c r="P348" t="str">
        <f>"Association Loi 1901 Reconnue d'Utilité Publique"</f>
        <v>Association Loi 1901 Reconnue d'Utilité Publique</v>
      </c>
      <c r="Q348" t="str">
        <f t="shared" si="66"/>
        <v>36</v>
      </c>
      <c r="R348" t="str">
        <f t="shared" si="67"/>
        <v>Tarifs conventionnels assurance maladie</v>
      </c>
      <c r="U348" t="str">
        <f>"590068037"</f>
        <v>590068037</v>
      </c>
    </row>
    <row r="349" spans="1:21" x14ac:dyDescent="0.3">
      <c r="A349" t="str">
        <f>"620036343"</f>
        <v>620036343</v>
      </c>
      <c r="B349" t="str">
        <f>"892 854 969 00011"</f>
        <v>892 854 969 00011</v>
      </c>
      <c r="D349" t="str">
        <f>"CSM UMA"</f>
        <v>CSM UMA</v>
      </c>
      <c r="F349" t="str">
        <f>"6 RUE DES HAYETTES"</f>
        <v>6 RUE DES HAYETTES</v>
      </c>
      <c r="H349" t="str">
        <f>"62700"</f>
        <v>62700</v>
      </c>
      <c r="I349" t="str">
        <f>"BRUAY LA BUISSIERE"</f>
        <v>BRUAY LA BUISSIERE</v>
      </c>
      <c r="J349" t="str">
        <f>"08 00 85 01 10 "</f>
        <v xml:space="preserve">08 00 85 01 10 </v>
      </c>
      <c r="L349" s="1">
        <v>44740</v>
      </c>
      <c r="M349" t="str">
        <f t="shared" si="62"/>
        <v>124</v>
      </c>
      <c r="N349" t="str">
        <f t="shared" si="63"/>
        <v>Centre de Santé</v>
      </c>
      <c r="O349" t="str">
        <f>"60"</f>
        <v>60</v>
      </c>
      <c r="P349" t="str">
        <f>"Association Loi 1901 non Reconnue d'Utilité Publique"</f>
        <v>Association Loi 1901 non Reconnue d'Utilité Publique</v>
      </c>
      <c r="Q349" t="str">
        <f t="shared" si="66"/>
        <v>36</v>
      </c>
      <c r="R349" t="str">
        <f t="shared" si="67"/>
        <v>Tarifs conventionnels assurance maladie</v>
      </c>
      <c r="U349" t="str">
        <f>"620036236"</f>
        <v>620036236</v>
      </c>
    </row>
    <row r="350" spans="1:21" x14ac:dyDescent="0.3">
      <c r="A350" t="str">
        <f>"090004839"</f>
        <v>090004839</v>
      </c>
      <c r="B350" t="str">
        <f>"130 030 158 00039"</f>
        <v>130 030 158 00039</v>
      </c>
      <c r="D350" t="str">
        <f>"CENTRE DE SANTE SAINTE CROIX VOLVESTRE"</f>
        <v>CENTRE DE SANTE SAINTE CROIX VOLVESTRE</v>
      </c>
      <c r="E350" t="str">
        <f>"LIEU DIT LA RAMEE"</f>
        <v>LIEU DIT LA RAMEE</v>
      </c>
      <c r="F350" t="str">
        <f>""</f>
        <v/>
      </c>
      <c r="H350" t="str">
        <f>"09230"</f>
        <v>09230</v>
      </c>
      <c r="I350" t="str">
        <f>"STE CROIX VOLVESTRE"</f>
        <v>STE CROIX VOLVESTRE</v>
      </c>
      <c r="L350" s="1">
        <v>44739</v>
      </c>
      <c r="M350" t="str">
        <f t="shared" si="62"/>
        <v>124</v>
      </c>
      <c r="N350" t="str">
        <f t="shared" si="63"/>
        <v>Centre de Santé</v>
      </c>
      <c r="O350" t="str">
        <f>"04"</f>
        <v>04</v>
      </c>
      <c r="P350" t="str">
        <f>"Région"</f>
        <v>Région</v>
      </c>
      <c r="Q350" t="str">
        <f t="shared" si="66"/>
        <v>36</v>
      </c>
      <c r="R350" t="str">
        <f t="shared" si="67"/>
        <v>Tarifs conventionnels assurance maladie</v>
      </c>
      <c r="U350" t="str">
        <f>"310034392"</f>
        <v>310034392</v>
      </c>
    </row>
    <row r="351" spans="1:21" x14ac:dyDescent="0.3">
      <c r="A351" t="str">
        <f>"300020351"</f>
        <v>300020351</v>
      </c>
      <c r="B351" t="str">
        <f>"901 321 273 00012"</f>
        <v>901 321 273 00012</v>
      </c>
      <c r="D351" t="str">
        <f>"CENTRE DE SANTÉ NÎMES"</f>
        <v>CENTRE DE SANTÉ NÎMES</v>
      </c>
      <c r="F351" t="str">
        <f>"4 RUE CREMIEUX"</f>
        <v>4 RUE CREMIEUX</v>
      </c>
      <c r="H351" t="str">
        <f>"30000"</f>
        <v>30000</v>
      </c>
      <c r="I351" t="str">
        <f>"NIMES"</f>
        <v>NIMES</v>
      </c>
      <c r="L351" s="1">
        <v>44739</v>
      </c>
      <c r="M351" t="str">
        <f t="shared" si="62"/>
        <v>124</v>
      </c>
      <c r="N351" t="str">
        <f t="shared" si="63"/>
        <v>Centre de Santé</v>
      </c>
      <c r="O351" t="str">
        <f>"60"</f>
        <v>60</v>
      </c>
      <c r="P351" t="str">
        <f>"Association Loi 1901 non Reconnue d'Utilité Publique"</f>
        <v>Association Loi 1901 non Reconnue d'Utilité Publique</v>
      </c>
      <c r="Q351" t="str">
        <f t="shared" si="66"/>
        <v>36</v>
      </c>
      <c r="R351" t="str">
        <f t="shared" si="67"/>
        <v>Tarifs conventionnels assurance maladie</v>
      </c>
      <c r="U351" t="str">
        <f>"300020344"</f>
        <v>300020344</v>
      </c>
    </row>
    <row r="352" spans="1:21" x14ac:dyDescent="0.3">
      <c r="A352" t="str">
        <f>"370015950"</f>
        <v>370015950</v>
      </c>
      <c r="B352" t="str">
        <f>"904 847 514 00018"</f>
        <v>904 847 514 00018</v>
      </c>
      <c r="D352" t="str">
        <f>"CENTRE ACCÈS VISION TOURS"</f>
        <v>CENTRE ACCÈS VISION TOURS</v>
      </c>
      <c r="F352" t="str">
        <f>"122 AVENUE DE GRAMMONT"</f>
        <v>122 AVENUE DE GRAMMONT</v>
      </c>
      <c r="H352" t="str">
        <f>"37000"</f>
        <v>37000</v>
      </c>
      <c r="I352" t="str">
        <f>"TOURS"</f>
        <v>TOURS</v>
      </c>
      <c r="J352" t="str">
        <f>"06 99 25 26 05 "</f>
        <v xml:space="preserve">06 99 25 26 05 </v>
      </c>
      <c r="L352" s="1">
        <v>44739</v>
      </c>
      <c r="M352" t="str">
        <f t="shared" si="62"/>
        <v>124</v>
      </c>
      <c r="N352" t="str">
        <f t="shared" si="63"/>
        <v>Centre de Santé</v>
      </c>
      <c r="O352" t="str">
        <f>"60"</f>
        <v>60</v>
      </c>
      <c r="P352" t="str">
        <f>"Association Loi 1901 non Reconnue d'Utilité Publique"</f>
        <v>Association Loi 1901 non Reconnue d'Utilité Publique</v>
      </c>
      <c r="Q352" t="str">
        <f>"99"</f>
        <v>99</v>
      </c>
      <c r="R352" t="str">
        <f>"Indéterminé"</f>
        <v>Indéterminé</v>
      </c>
      <c r="U352" t="str">
        <f>"370015943"</f>
        <v>370015943</v>
      </c>
    </row>
    <row r="353" spans="1:21" x14ac:dyDescent="0.3">
      <c r="A353" t="str">
        <f>"770026235"</f>
        <v>770026235</v>
      </c>
      <c r="B353" t="str">
        <f>"901 651 745 00019"</f>
        <v>901 651 745 00019</v>
      </c>
      <c r="D353" t="str">
        <f>"CDS DENTAIRE DE BRIE"</f>
        <v>CDS DENTAIRE DE BRIE</v>
      </c>
      <c r="F353" t="str">
        <f>"34 RUE DU COQ GAULOIS"</f>
        <v>34 RUE DU COQ GAULOIS</v>
      </c>
      <c r="H353" t="str">
        <f>"77170"</f>
        <v>77170</v>
      </c>
      <c r="I353" t="str">
        <f>"BRIE COMTE ROBERT"</f>
        <v>BRIE COMTE ROBERT</v>
      </c>
      <c r="J353" t="str">
        <f>"01 81 22 21 90 "</f>
        <v xml:space="preserve">01 81 22 21 90 </v>
      </c>
      <c r="L353" s="1">
        <v>44739</v>
      </c>
      <c r="M353" t="str">
        <f t="shared" si="62"/>
        <v>124</v>
      </c>
      <c r="N353" t="str">
        <f t="shared" si="63"/>
        <v>Centre de Santé</v>
      </c>
      <c r="O353" t="str">
        <f>"60"</f>
        <v>60</v>
      </c>
      <c r="P353" t="str">
        <f>"Association Loi 1901 non Reconnue d'Utilité Publique"</f>
        <v>Association Loi 1901 non Reconnue d'Utilité Publique</v>
      </c>
      <c r="Q353" t="str">
        <f t="shared" ref="Q353:Q416" si="68">"36"</f>
        <v>36</v>
      </c>
      <c r="R353" t="str">
        <f t="shared" ref="R353:R416" si="69">"Tarifs conventionnels assurance maladie"</f>
        <v>Tarifs conventionnels assurance maladie</v>
      </c>
      <c r="U353" t="str">
        <f>"770026227"</f>
        <v>770026227</v>
      </c>
    </row>
    <row r="354" spans="1:21" x14ac:dyDescent="0.3">
      <c r="A354" t="str">
        <f>"830026373"</f>
        <v>830026373</v>
      </c>
      <c r="B354" t="str">
        <f>"218 301 463 00012"</f>
        <v>218 301 463 00012</v>
      </c>
      <c r="D354" t="str">
        <f>"CDS MUNICIPAL DE LA VERDIERE"</f>
        <v>CDS MUNICIPAL DE LA VERDIERE</v>
      </c>
      <c r="E354" t="str">
        <f>"SALLE FREDERIC MISTRAL"</f>
        <v>SALLE FREDERIC MISTRAL</v>
      </c>
      <c r="F354" t="str">
        <f>"345 ROUTE DE MANOSQUE"</f>
        <v>345 ROUTE DE MANOSQUE</v>
      </c>
      <c r="H354" t="str">
        <f>"83560"</f>
        <v>83560</v>
      </c>
      <c r="I354" t="str">
        <f>"LA VERDIERE"</f>
        <v>LA VERDIERE</v>
      </c>
      <c r="J354" t="str">
        <f>"04 94 04 12 10 "</f>
        <v xml:space="preserve">04 94 04 12 10 </v>
      </c>
      <c r="L354" s="1">
        <v>44739</v>
      </c>
      <c r="M354" t="str">
        <f t="shared" si="62"/>
        <v>124</v>
      </c>
      <c r="N354" t="str">
        <f t="shared" si="63"/>
        <v>Centre de Santé</v>
      </c>
      <c r="O354" t="str">
        <f>"61"</f>
        <v>61</v>
      </c>
      <c r="P354" t="str">
        <f>"Association Loi 1901 Reconnue d'Utilité Publique"</f>
        <v>Association Loi 1901 Reconnue d'Utilité Publique</v>
      </c>
      <c r="Q354" t="str">
        <f t="shared" si="68"/>
        <v>36</v>
      </c>
      <c r="R354" t="str">
        <f t="shared" si="69"/>
        <v>Tarifs conventionnels assurance maladie</v>
      </c>
      <c r="U354" t="str">
        <f>"830026365"</f>
        <v>830026365</v>
      </c>
    </row>
    <row r="355" spans="1:21" x14ac:dyDescent="0.3">
      <c r="A355" t="str">
        <f>"830026449"</f>
        <v>830026449</v>
      </c>
      <c r="B355" t="str">
        <f>"905 376 323 00028"</f>
        <v>905 376 323 00028</v>
      </c>
      <c r="D355" t="str">
        <f>"CDS DENTAIRE SAINTE MEINIER"</f>
        <v>CDS DENTAIRE SAINTE MEINIER</v>
      </c>
      <c r="F355" t="str">
        <f>"60 AVENUE MATHIAS"</f>
        <v>60 AVENUE MATHIAS</v>
      </c>
      <c r="H355" t="str">
        <f>"83120"</f>
        <v>83120</v>
      </c>
      <c r="I355" t="str">
        <f>"STE MAXIME"</f>
        <v>STE MAXIME</v>
      </c>
      <c r="L355" s="1">
        <v>44739</v>
      </c>
      <c r="M355" t="str">
        <f t="shared" si="62"/>
        <v>124</v>
      </c>
      <c r="N355" t="str">
        <f t="shared" si="63"/>
        <v>Centre de Santé</v>
      </c>
      <c r="O355" t="str">
        <f>"60"</f>
        <v>60</v>
      </c>
      <c r="P355" t="str">
        <f>"Association Loi 1901 non Reconnue d'Utilité Publique"</f>
        <v>Association Loi 1901 non Reconnue d'Utilité Publique</v>
      </c>
      <c r="Q355" t="str">
        <f t="shared" si="68"/>
        <v>36</v>
      </c>
      <c r="R355" t="str">
        <f t="shared" si="69"/>
        <v>Tarifs conventionnels assurance maladie</v>
      </c>
      <c r="U355" t="str">
        <f>"830026431"</f>
        <v>830026431</v>
      </c>
    </row>
    <row r="356" spans="1:21" x14ac:dyDescent="0.3">
      <c r="A356" t="str">
        <f>"920039104"</f>
        <v>920039104</v>
      </c>
      <c r="B356" t="str">
        <f>"909 163 941 00018"</f>
        <v>909 163 941 00018</v>
      </c>
      <c r="D356" t="str">
        <f>"CDS ASNIERES SUR SEINE"</f>
        <v>CDS ASNIERES SUR SEINE</v>
      </c>
      <c r="F356" t="str">
        <f>"18 RUE TEDDY RINER"</f>
        <v>18 RUE TEDDY RINER</v>
      </c>
      <c r="H356" t="str">
        <f>"92600"</f>
        <v>92600</v>
      </c>
      <c r="I356" t="str">
        <f>"ASNIERES SUR SEINE"</f>
        <v>ASNIERES SUR SEINE</v>
      </c>
      <c r="L356" s="1">
        <v>44735</v>
      </c>
      <c r="M356" t="str">
        <f t="shared" si="62"/>
        <v>124</v>
      </c>
      <c r="N356" t="str">
        <f t="shared" si="63"/>
        <v>Centre de Santé</v>
      </c>
      <c r="O356" t="str">
        <f>"60"</f>
        <v>60</v>
      </c>
      <c r="P356" t="str">
        <f>"Association Loi 1901 non Reconnue d'Utilité Publique"</f>
        <v>Association Loi 1901 non Reconnue d'Utilité Publique</v>
      </c>
      <c r="Q356" t="str">
        <f t="shared" si="68"/>
        <v>36</v>
      </c>
      <c r="R356" t="str">
        <f t="shared" si="69"/>
        <v>Tarifs conventionnels assurance maladie</v>
      </c>
      <c r="U356" t="str">
        <f>"920039096"</f>
        <v>920039096</v>
      </c>
    </row>
    <row r="357" spans="1:21" x14ac:dyDescent="0.3">
      <c r="A357" t="str">
        <f>"950045500"</f>
        <v>950045500</v>
      </c>
      <c r="B357" t="str">
        <f>"317 235 315 00056"</f>
        <v>317 235 315 00056</v>
      </c>
      <c r="D357" t="str">
        <f>"CDS MEDICAL ARGENTEUIL"</f>
        <v>CDS MEDICAL ARGENTEUIL</v>
      </c>
      <c r="F357" t="str">
        <f>"60 BOULEVARD DU GENERAL LECLERC"</f>
        <v>60 BOULEVARD DU GENERAL LECLERC</v>
      </c>
      <c r="H357" t="str">
        <f>"95100"</f>
        <v>95100</v>
      </c>
      <c r="I357" t="str">
        <f>"ARGENTEUIL"</f>
        <v>ARGENTEUIL</v>
      </c>
      <c r="J357" t="str">
        <f>"01 69 39 90 02 "</f>
        <v xml:space="preserve">01 69 39 90 02 </v>
      </c>
      <c r="L357" s="1">
        <v>44734</v>
      </c>
      <c r="M357" t="str">
        <f t="shared" si="62"/>
        <v>124</v>
      </c>
      <c r="N357" t="str">
        <f t="shared" si="63"/>
        <v>Centre de Santé</v>
      </c>
      <c r="O357" t="str">
        <f>"95"</f>
        <v>95</v>
      </c>
      <c r="P357" t="str">
        <f>"Société par Actions Simplifiée (S.A.S.)"</f>
        <v>Société par Actions Simplifiée (S.A.S.)</v>
      </c>
      <c r="Q357" t="str">
        <f t="shared" si="68"/>
        <v>36</v>
      </c>
      <c r="R357" t="str">
        <f t="shared" si="69"/>
        <v>Tarifs conventionnels assurance maladie</v>
      </c>
      <c r="U357" t="str">
        <f>"910017615"</f>
        <v>910017615</v>
      </c>
    </row>
    <row r="358" spans="1:21" x14ac:dyDescent="0.3">
      <c r="A358" t="str">
        <f>"060031143"</f>
        <v>060031143</v>
      </c>
      <c r="D358" t="str">
        <f>"CDS MADELEINE"</f>
        <v>CDS MADELEINE</v>
      </c>
      <c r="F358" t="str">
        <f>"14 BOULEVARD DE LA MADELEINE"</f>
        <v>14 BOULEVARD DE LA MADELEINE</v>
      </c>
      <c r="H358" t="str">
        <f>"06000"</f>
        <v>06000</v>
      </c>
      <c r="I358" t="str">
        <f>"NICE"</f>
        <v>NICE</v>
      </c>
      <c r="J358" t="str">
        <f>"04 93 78 25 88 "</f>
        <v xml:space="preserve">04 93 78 25 88 </v>
      </c>
      <c r="L358" s="1">
        <v>44732</v>
      </c>
      <c r="M358" t="str">
        <f t="shared" si="62"/>
        <v>124</v>
      </c>
      <c r="N358" t="str">
        <f t="shared" si="63"/>
        <v>Centre de Santé</v>
      </c>
      <c r="O358" t="str">
        <f>"60"</f>
        <v>60</v>
      </c>
      <c r="P358" t="str">
        <f>"Association Loi 1901 non Reconnue d'Utilité Publique"</f>
        <v>Association Loi 1901 non Reconnue d'Utilité Publique</v>
      </c>
      <c r="Q358" t="str">
        <f t="shared" si="68"/>
        <v>36</v>
      </c>
      <c r="R358" t="str">
        <f t="shared" si="69"/>
        <v>Tarifs conventionnels assurance maladie</v>
      </c>
      <c r="U358" t="str">
        <f>"930029285"</f>
        <v>930029285</v>
      </c>
    </row>
    <row r="359" spans="1:21" x14ac:dyDescent="0.3">
      <c r="A359" t="str">
        <f>"660012667"</f>
        <v>660012667</v>
      </c>
      <c r="B359" t="str">
        <f>"900 490 566 00016"</f>
        <v>900 490 566 00016</v>
      </c>
      <c r="D359" t="str">
        <f>"CENTRE DE SANTE PERPIGNAN"</f>
        <v>CENTRE DE SANTE PERPIGNAN</v>
      </c>
      <c r="F359" t="str">
        <f>"1 RUE ALSACE LORRAINE"</f>
        <v>1 RUE ALSACE LORRAINE</v>
      </c>
      <c r="H359" t="str">
        <f>"66000"</f>
        <v>66000</v>
      </c>
      <c r="I359" t="str">
        <f>"PERPIGNAN"</f>
        <v>PERPIGNAN</v>
      </c>
      <c r="J359" t="str">
        <f>"04 48 50 55 55 "</f>
        <v xml:space="preserve">04 48 50 55 55 </v>
      </c>
      <c r="L359" s="1">
        <v>44732</v>
      </c>
      <c r="M359" t="str">
        <f t="shared" si="62"/>
        <v>124</v>
      </c>
      <c r="N359" t="str">
        <f t="shared" si="63"/>
        <v>Centre de Santé</v>
      </c>
      <c r="O359" t="str">
        <f>"60"</f>
        <v>60</v>
      </c>
      <c r="P359" t="str">
        <f>"Association Loi 1901 non Reconnue d'Utilité Publique"</f>
        <v>Association Loi 1901 non Reconnue d'Utilité Publique</v>
      </c>
      <c r="Q359" t="str">
        <f t="shared" si="68"/>
        <v>36</v>
      </c>
      <c r="R359" t="str">
        <f t="shared" si="69"/>
        <v>Tarifs conventionnels assurance maladie</v>
      </c>
      <c r="U359" t="str">
        <f>"660012659"</f>
        <v>660012659</v>
      </c>
    </row>
    <row r="360" spans="1:21" x14ac:dyDescent="0.3">
      <c r="A360" t="str">
        <f>"830026142"</f>
        <v>830026142</v>
      </c>
      <c r="B360" t="str">
        <f>"894 495 548 00014"</f>
        <v>894 495 548 00014</v>
      </c>
      <c r="D360" t="str">
        <f>"CDS DENTAIRE VERTUO DRAGUIGNAN"</f>
        <v>CDS DENTAIRE VERTUO DRAGUIGNAN</v>
      </c>
      <c r="E360" t="str">
        <f>"CENTRE COMMERCIAL CARREFOUR"</f>
        <v>CENTRE COMMERCIAL CARREFOUR</v>
      </c>
      <c r="F360" t="str">
        <f>"ZONE INDUSTRIELLE SAINT HERMENTAIRE"</f>
        <v>ZONE INDUSTRIELLE SAINT HERMENTAIRE</v>
      </c>
      <c r="H360" t="str">
        <f>"83300"</f>
        <v>83300</v>
      </c>
      <c r="I360" t="str">
        <f>"DRAGUIGNAN"</f>
        <v>DRAGUIGNAN</v>
      </c>
      <c r="J360" t="str">
        <f>"06 79 84 20 31 "</f>
        <v xml:space="preserve">06 79 84 20 31 </v>
      </c>
      <c r="L360" s="1">
        <v>44732</v>
      </c>
      <c r="M360" t="str">
        <f t="shared" si="62"/>
        <v>124</v>
      </c>
      <c r="N360" t="str">
        <f t="shared" si="63"/>
        <v>Centre de Santé</v>
      </c>
      <c r="O360" t="str">
        <f>"61"</f>
        <v>61</v>
      </c>
      <c r="P360" t="str">
        <f>"Association Loi 1901 Reconnue d'Utilité Publique"</f>
        <v>Association Loi 1901 Reconnue d'Utilité Publique</v>
      </c>
      <c r="Q360" t="str">
        <f t="shared" si="68"/>
        <v>36</v>
      </c>
      <c r="R360" t="str">
        <f t="shared" si="69"/>
        <v>Tarifs conventionnels assurance maladie</v>
      </c>
      <c r="U360" t="str">
        <f>"830026134"</f>
        <v>830026134</v>
      </c>
    </row>
    <row r="361" spans="1:21" x14ac:dyDescent="0.3">
      <c r="A361" t="str">
        <f>"830026407"</f>
        <v>830026407</v>
      </c>
      <c r="B361" t="str">
        <f>"903 142 974 00018"</f>
        <v>903 142 974 00018</v>
      </c>
      <c r="D361" t="str">
        <f>"CDS ACCES VISION LA SEYNE SUR MER"</f>
        <v>CDS ACCES VISION LA SEYNE SUR MER</v>
      </c>
      <c r="E361" t="str">
        <f>"C. CIAL AUCHAN"</f>
        <v>C. CIAL AUCHAN</v>
      </c>
      <c r="F361" t="str">
        <f>"BOULEVARD DE L'EUROPE"</f>
        <v>BOULEVARD DE L'EUROPE</v>
      </c>
      <c r="H361" t="str">
        <f>"83500"</f>
        <v>83500</v>
      </c>
      <c r="I361" t="str">
        <f>"LA SEYNE SUR MER"</f>
        <v>LA SEYNE SUR MER</v>
      </c>
      <c r="J361" t="str">
        <f>"06 99 25 26 05 "</f>
        <v xml:space="preserve">06 99 25 26 05 </v>
      </c>
      <c r="L361" s="1">
        <v>44732</v>
      </c>
      <c r="M361" t="str">
        <f t="shared" si="62"/>
        <v>124</v>
      </c>
      <c r="N361" t="str">
        <f t="shared" si="63"/>
        <v>Centre de Santé</v>
      </c>
      <c r="O361" t="str">
        <f>"60"</f>
        <v>60</v>
      </c>
      <c r="P361" t="str">
        <f>"Association Loi 1901 non Reconnue d'Utilité Publique"</f>
        <v>Association Loi 1901 non Reconnue d'Utilité Publique</v>
      </c>
      <c r="Q361" t="str">
        <f t="shared" si="68"/>
        <v>36</v>
      </c>
      <c r="R361" t="str">
        <f t="shared" si="69"/>
        <v>Tarifs conventionnels assurance maladie</v>
      </c>
      <c r="U361" t="str">
        <f>"940029499"</f>
        <v>940029499</v>
      </c>
    </row>
    <row r="362" spans="1:21" x14ac:dyDescent="0.3">
      <c r="A362" t="str">
        <f>"920038528"</f>
        <v>920038528</v>
      </c>
      <c r="B362" t="str">
        <f>"908 963 119 00015"</f>
        <v>908 963 119 00015</v>
      </c>
      <c r="D362" t="str">
        <f>"CDS MEDIPLUS SANTE"</f>
        <v>CDS MEDIPLUS SANTE</v>
      </c>
      <c r="F362" t="str">
        <f>"48 BOULEVARD CHARLES DE GAULLE"</f>
        <v>48 BOULEVARD CHARLES DE GAULLE</v>
      </c>
      <c r="H362" t="str">
        <f>"92700"</f>
        <v>92700</v>
      </c>
      <c r="I362" t="str">
        <f>"COLOMBES"</f>
        <v>COLOMBES</v>
      </c>
      <c r="J362" t="str">
        <f>"06 03 01 56 79 "</f>
        <v xml:space="preserve">06 03 01 56 79 </v>
      </c>
      <c r="L362" s="1">
        <v>44732</v>
      </c>
      <c r="M362" t="str">
        <f t="shared" si="62"/>
        <v>124</v>
      </c>
      <c r="N362" t="str">
        <f t="shared" si="63"/>
        <v>Centre de Santé</v>
      </c>
      <c r="O362" t="str">
        <f>"60"</f>
        <v>60</v>
      </c>
      <c r="P362" t="str">
        <f>"Association Loi 1901 non Reconnue d'Utilité Publique"</f>
        <v>Association Loi 1901 non Reconnue d'Utilité Publique</v>
      </c>
      <c r="Q362" t="str">
        <f t="shared" si="68"/>
        <v>36</v>
      </c>
      <c r="R362" t="str">
        <f t="shared" si="69"/>
        <v>Tarifs conventionnels assurance maladie</v>
      </c>
      <c r="U362" t="str">
        <f>"920038510"</f>
        <v>920038510</v>
      </c>
    </row>
    <row r="363" spans="1:21" x14ac:dyDescent="0.3">
      <c r="A363" t="str">
        <f>"250021474"</f>
        <v>250021474</v>
      </c>
      <c r="B363" t="str">
        <f>"212 500 318 00259"</f>
        <v>212 500 318 00259</v>
      </c>
      <c r="D363" t="str">
        <f>"CENTRE MUNICIPAL DE SANTE AUDINCOURT"</f>
        <v>CENTRE MUNICIPAL DE SANTE AUDINCOURT</v>
      </c>
      <c r="F363" t="str">
        <f>"8 RUE DE LA MAIRIE"</f>
        <v>8 RUE DE LA MAIRIE</v>
      </c>
      <c r="H363" t="str">
        <f>"25400"</f>
        <v>25400</v>
      </c>
      <c r="I363" t="str">
        <f>"AUDINCOURT"</f>
        <v>AUDINCOURT</v>
      </c>
      <c r="J363" t="str">
        <f>"09 71 11 13 40 "</f>
        <v xml:space="preserve">09 71 11 13 40 </v>
      </c>
      <c r="L363" s="1">
        <v>44728</v>
      </c>
      <c r="M363" t="str">
        <f t="shared" si="62"/>
        <v>124</v>
      </c>
      <c r="N363" t="str">
        <f t="shared" si="63"/>
        <v>Centre de Santé</v>
      </c>
      <c r="O363" t="str">
        <f>"03"</f>
        <v>03</v>
      </c>
      <c r="P363" t="str">
        <f>"Commune"</f>
        <v>Commune</v>
      </c>
      <c r="Q363" t="str">
        <f t="shared" si="68"/>
        <v>36</v>
      </c>
      <c r="R363" t="str">
        <f t="shared" si="69"/>
        <v>Tarifs conventionnels assurance maladie</v>
      </c>
      <c r="U363" t="str">
        <f>"250021466"</f>
        <v>250021466</v>
      </c>
    </row>
    <row r="364" spans="1:21" x14ac:dyDescent="0.3">
      <c r="A364" t="str">
        <f>"570030007"</f>
        <v>570030007</v>
      </c>
      <c r="B364" t="str">
        <f>"894 683 101 00014"</f>
        <v>894 683 101 00014</v>
      </c>
      <c r="D364" t="str">
        <f>"CENTRE DE SANTE - SANTE PLUS METZ"</f>
        <v>CENTRE DE SANTE - SANTE PLUS METZ</v>
      </c>
      <c r="F364" t="str">
        <f>"6 RUE PIERRE PERRAT"</f>
        <v>6 RUE PIERRE PERRAT</v>
      </c>
      <c r="H364" t="str">
        <f>"57000"</f>
        <v>57000</v>
      </c>
      <c r="I364" t="str">
        <f>"METZ"</f>
        <v>METZ</v>
      </c>
      <c r="J364" t="str">
        <f>"03 72 51 30 30 "</f>
        <v xml:space="preserve">03 72 51 30 30 </v>
      </c>
      <c r="L364" s="1">
        <v>44728</v>
      </c>
      <c r="M364" t="str">
        <f t="shared" si="62"/>
        <v>124</v>
      </c>
      <c r="N364" t="str">
        <f t="shared" si="63"/>
        <v>Centre de Santé</v>
      </c>
      <c r="O364" t="str">
        <f>"62"</f>
        <v>62</v>
      </c>
      <c r="P364" t="str">
        <f>"Association de Droit Local"</f>
        <v>Association de Droit Local</v>
      </c>
      <c r="Q364" t="str">
        <f t="shared" si="68"/>
        <v>36</v>
      </c>
      <c r="R364" t="str">
        <f t="shared" si="69"/>
        <v>Tarifs conventionnels assurance maladie</v>
      </c>
      <c r="U364" t="str">
        <f>"570029991"</f>
        <v>570029991</v>
      </c>
    </row>
    <row r="365" spans="1:21" x14ac:dyDescent="0.3">
      <c r="A365" t="str">
        <f>"690050752"</f>
        <v>690050752</v>
      </c>
      <c r="B365" t="str">
        <f>"902 019 207 00015"</f>
        <v>902 019 207 00015</v>
      </c>
      <c r="D365" t="str">
        <f>"CENTRE DE SANTE MEDIKSANTE LYON"</f>
        <v>CENTRE DE SANTE MEDIKSANTE LYON</v>
      </c>
      <c r="F365" t="str">
        <f>"117 RUE PIERRE CORNEILLE"</f>
        <v>117 RUE PIERRE CORNEILLE</v>
      </c>
      <c r="H365" t="str">
        <f>"69003"</f>
        <v>69003</v>
      </c>
      <c r="I365" t="str">
        <f>"LYON"</f>
        <v>LYON</v>
      </c>
      <c r="L365" s="1">
        <v>44728</v>
      </c>
      <c r="M365" t="str">
        <f t="shared" si="62"/>
        <v>124</v>
      </c>
      <c r="N365" t="str">
        <f t="shared" si="63"/>
        <v>Centre de Santé</v>
      </c>
      <c r="O365" t="str">
        <f>"60"</f>
        <v>60</v>
      </c>
      <c r="P365" t="str">
        <f>"Association Loi 1901 non Reconnue d'Utilité Publique"</f>
        <v>Association Loi 1901 non Reconnue d'Utilité Publique</v>
      </c>
      <c r="Q365" t="str">
        <f t="shared" si="68"/>
        <v>36</v>
      </c>
      <c r="R365" t="str">
        <f t="shared" si="69"/>
        <v>Tarifs conventionnels assurance maladie</v>
      </c>
      <c r="U365" t="str">
        <f>"690050745"</f>
        <v>690050745</v>
      </c>
    </row>
    <row r="366" spans="1:21" x14ac:dyDescent="0.3">
      <c r="A366" t="str">
        <f>"930031943"</f>
        <v>930031943</v>
      </c>
      <c r="B366" t="str">
        <f>"910 284 769 00015"</f>
        <v>910 284 769 00015</v>
      </c>
      <c r="D366" t="str">
        <f>"CDS DE L OPHTALMOLOGIE DE MONTREUIL"</f>
        <v>CDS DE L OPHTALMOLOGIE DE MONTREUIL</v>
      </c>
      <c r="F366" t="str">
        <f>"248 RUE DE PARIS"</f>
        <v>248 RUE DE PARIS</v>
      </c>
      <c r="H366" t="str">
        <f>"93100"</f>
        <v>93100</v>
      </c>
      <c r="I366" t="str">
        <f>"MONTREUIL"</f>
        <v>MONTREUIL</v>
      </c>
      <c r="J366" t="str">
        <f>"01 85 78 72 00 "</f>
        <v xml:space="preserve">01 85 78 72 00 </v>
      </c>
      <c r="L366" s="1">
        <v>44728</v>
      </c>
      <c r="M366" t="str">
        <f t="shared" si="62"/>
        <v>124</v>
      </c>
      <c r="N366" t="str">
        <f t="shared" si="63"/>
        <v>Centre de Santé</v>
      </c>
      <c r="O366" t="str">
        <f>"60"</f>
        <v>60</v>
      </c>
      <c r="P366" t="str">
        <f>"Association Loi 1901 non Reconnue d'Utilité Publique"</f>
        <v>Association Loi 1901 non Reconnue d'Utilité Publique</v>
      </c>
      <c r="Q366" t="str">
        <f t="shared" si="68"/>
        <v>36</v>
      </c>
      <c r="R366" t="str">
        <f t="shared" si="69"/>
        <v>Tarifs conventionnels assurance maladie</v>
      </c>
      <c r="U366" t="str">
        <f>"930031935"</f>
        <v>930031935</v>
      </c>
    </row>
    <row r="367" spans="1:21" x14ac:dyDescent="0.3">
      <c r="A367" t="str">
        <f>"130052988"</f>
        <v>130052988</v>
      </c>
      <c r="B367" t="str">
        <f>"903 670 248 00025"</f>
        <v>903 670 248 00025</v>
      </c>
      <c r="D367" t="str">
        <f>"CENTRE ACCES VISION GRAND LITTORAL"</f>
        <v>CENTRE ACCES VISION GRAND LITTORAL</v>
      </c>
      <c r="E367" t="str">
        <f>"CTRE CCIAL MARSEILLE GD LITTORAL"</f>
        <v>CTRE CCIAL MARSEILLE GD LITTORAL</v>
      </c>
      <c r="F367" t="str">
        <f>"11 AVENUE DE SAINT ANTOINE"</f>
        <v>11 AVENUE DE SAINT ANTOINE</v>
      </c>
      <c r="H367" t="str">
        <f>"13015"</f>
        <v>13015</v>
      </c>
      <c r="I367" t="str">
        <f>"MARSEILLE"</f>
        <v>MARSEILLE</v>
      </c>
      <c r="J367" t="str">
        <f>"04 84 89 49 19 "</f>
        <v xml:space="preserve">04 84 89 49 19 </v>
      </c>
      <c r="L367" s="1">
        <v>44727</v>
      </c>
      <c r="M367" t="str">
        <f t="shared" si="62"/>
        <v>124</v>
      </c>
      <c r="N367" t="str">
        <f t="shared" si="63"/>
        <v>Centre de Santé</v>
      </c>
      <c r="O367" t="str">
        <f>"60"</f>
        <v>60</v>
      </c>
      <c r="P367" t="str">
        <f>"Association Loi 1901 non Reconnue d'Utilité Publique"</f>
        <v>Association Loi 1901 non Reconnue d'Utilité Publique</v>
      </c>
      <c r="Q367" t="str">
        <f t="shared" si="68"/>
        <v>36</v>
      </c>
      <c r="R367" t="str">
        <f t="shared" si="69"/>
        <v>Tarifs conventionnels assurance maladie</v>
      </c>
      <c r="U367" t="str">
        <f>"130052970"</f>
        <v>130052970</v>
      </c>
    </row>
    <row r="368" spans="1:21" x14ac:dyDescent="0.3">
      <c r="A368" t="str">
        <f>"780028692"</f>
        <v>780028692</v>
      </c>
      <c r="B368" t="str">
        <f>"904 744 984 00017"</f>
        <v>904 744 984 00017</v>
      </c>
      <c r="D368" t="str">
        <f>"CDS MEDICAL ET OPHTALMO SARTROUVILLE"</f>
        <v>CDS MEDICAL ET OPHTALMO SARTROUVILLE</v>
      </c>
      <c r="F368" t="str">
        <f>"32 AVENUE JEAN JAURES"</f>
        <v>32 AVENUE JEAN JAURES</v>
      </c>
      <c r="H368" t="str">
        <f>"78500"</f>
        <v>78500</v>
      </c>
      <c r="I368" t="str">
        <f>"SARTROUVILLE"</f>
        <v>SARTROUVILLE</v>
      </c>
      <c r="J368" t="str">
        <f>"06 51 53 56 89 "</f>
        <v xml:space="preserve">06 51 53 56 89 </v>
      </c>
      <c r="L368" s="1">
        <v>44727</v>
      </c>
      <c r="M368" t="str">
        <f t="shared" si="62"/>
        <v>124</v>
      </c>
      <c r="N368" t="str">
        <f t="shared" si="63"/>
        <v>Centre de Santé</v>
      </c>
      <c r="O368" t="str">
        <f>"60"</f>
        <v>60</v>
      </c>
      <c r="P368" t="str">
        <f>"Association Loi 1901 non Reconnue d'Utilité Publique"</f>
        <v>Association Loi 1901 non Reconnue d'Utilité Publique</v>
      </c>
      <c r="Q368" t="str">
        <f t="shared" si="68"/>
        <v>36</v>
      </c>
      <c r="R368" t="str">
        <f t="shared" si="69"/>
        <v>Tarifs conventionnels assurance maladie</v>
      </c>
      <c r="U368" t="str">
        <f>"780028684"</f>
        <v>780028684</v>
      </c>
    </row>
    <row r="369" spans="1:21" x14ac:dyDescent="0.3">
      <c r="A369" t="str">
        <f>"800021529"</f>
        <v>800021529</v>
      </c>
      <c r="B369" t="str">
        <f>"912 977 097 00019"</f>
        <v>912 977 097 00019</v>
      </c>
      <c r="D369" t="str">
        <f>"CSD MOLARIS"</f>
        <v>CSD MOLARIS</v>
      </c>
      <c r="F369" t="str">
        <f>"15 PASSAGE DU LOGIS DU ROI"</f>
        <v>15 PASSAGE DU LOGIS DU ROI</v>
      </c>
      <c r="H369" t="str">
        <f>"80000"</f>
        <v>80000</v>
      </c>
      <c r="I369" t="str">
        <f>"AMIENS"</f>
        <v>AMIENS</v>
      </c>
      <c r="L369" s="1">
        <v>44727</v>
      </c>
      <c r="M369" t="str">
        <f t="shared" si="62"/>
        <v>124</v>
      </c>
      <c r="N369" t="str">
        <f t="shared" si="63"/>
        <v>Centre de Santé</v>
      </c>
      <c r="O369" t="str">
        <f>"61"</f>
        <v>61</v>
      </c>
      <c r="P369" t="str">
        <f>"Association Loi 1901 Reconnue d'Utilité Publique"</f>
        <v>Association Loi 1901 Reconnue d'Utilité Publique</v>
      </c>
      <c r="Q369" t="str">
        <f t="shared" si="68"/>
        <v>36</v>
      </c>
      <c r="R369" t="str">
        <f t="shared" si="69"/>
        <v>Tarifs conventionnels assurance maladie</v>
      </c>
      <c r="U369" t="str">
        <f>"800021511"</f>
        <v>800021511</v>
      </c>
    </row>
    <row r="370" spans="1:21" x14ac:dyDescent="0.3">
      <c r="A370" t="str">
        <f>"600016653"</f>
        <v>600016653</v>
      </c>
      <c r="B370" t="str">
        <f>"903 257 939 00020"</f>
        <v>903 257 939 00020</v>
      </c>
      <c r="D370" t="str">
        <f>"CSP DENTESTHETICS"</f>
        <v>CSP DENTESTHETICS</v>
      </c>
      <c r="F370" t="str">
        <f>"66 RUE JEAN JAURÈS"</f>
        <v>66 RUE JEAN JAURÈS</v>
      </c>
      <c r="H370" t="str">
        <f>"60100"</f>
        <v>60100</v>
      </c>
      <c r="I370" t="str">
        <f>"CREIL"</f>
        <v>CREIL</v>
      </c>
      <c r="J370" t="str">
        <f>"03 44 73 99 49 "</f>
        <v xml:space="preserve">03 44 73 99 49 </v>
      </c>
      <c r="L370" s="1">
        <v>44726</v>
      </c>
      <c r="M370" t="str">
        <f t="shared" si="62"/>
        <v>124</v>
      </c>
      <c r="N370" t="str">
        <f t="shared" si="63"/>
        <v>Centre de Santé</v>
      </c>
      <c r="O370" t="str">
        <f>"61"</f>
        <v>61</v>
      </c>
      <c r="P370" t="str">
        <f>"Association Loi 1901 Reconnue d'Utilité Publique"</f>
        <v>Association Loi 1901 Reconnue d'Utilité Publique</v>
      </c>
      <c r="Q370" t="str">
        <f t="shared" si="68"/>
        <v>36</v>
      </c>
      <c r="R370" t="str">
        <f t="shared" si="69"/>
        <v>Tarifs conventionnels assurance maladie</v>
      </c>
      <c r="U370" t="str">
        <f>"600016646"</f>
        <v>600016646</v>
      </c>
    </row>
    <row r="371" spans="1:21" x14ac:dyDescent="0.3">
      <c r="A371" t="str">
        <f>"930031638"</f>
        <v>930031638</v>
      </c>
      <c r="B371" t="str">
        <f>"908 307 903 00017"</f>
        <v>908 307 903 00017</v>
      </c>
      <c r="D371" t="str">
        <f>"CDS OPHTALMO DENTAIRE NOISY LE GRAND"</f>
        <v>CDS OPHTALMO DENTAIRE NOISY LE GRAND</v>
      </c>
      <c r="E371" t="str">
        <f>"45-49"</f>
        <v>45-49</v>
      </c>
      <c r="F371" t="str">
        <f>"45 AVENUE ARISTIDE BRIAND"</f>
        <v>45 AVENUE ARISTIDE BRIAND</v>
      </c>
      <c r="H371" t="str">
        <f>"93160"</f>
        <v>93160</v>
      </c>
      <c r="I371" t="str">
        <f>"NOISY LE GRAND"</f>
        <v>NOISY LE GRAND</v>
      </c>
      <c r="J371" t="str">
        <f>"07 67 09 82 78 "</f>
        <v xml:space="preserve">07 67 09 82 78 </v>
      </c>
      <c r="L371" s="1">
        <v>44726</v>
      </c>
      <c r="M371" t="str">
        <f t="shared" si="62"/>
        <v>124</v>
      </c>
      <c r="N371" t="str">
        <f t="shared" si="63"/>
        <v>Centre de Santé</v>
      </c>
      <c r="O371" t="str">
        <f>"60"</f>
        <v>60</v>
      </c>
      <c r="P371" t="str">
        <f>"Association Loi 1901 non Reconnue d'Utilité Publique"</f>
        <v>Association Loi 1901 non Reconnue d'Utilité Publique</v>
      </c>
      <c r="Q371" t="str">
        <f t="shared" si="68"/>
        <v>36</v>
      </c>
      <c r="R371" t="str">
        <f t="shared" si="69"/>
        <v>Tarifs conventionnels assurance maladie</v>
      </c>
      <c r="U371" t="str">
        <f>"930031620"</f>
        <v>930031620</v>
      </c>
    </row>
    <row r="372" spans="1:21" x14ac:dyDescent="0.3">
      <c r="A372" t="str">
        <f>"100011592"</f>
        <v>100011592</v>
      </c>
      <c r="B372" t="str">
        <f>"780 349 833 00696"</f>
        <v>780 349 833 00696</v>
      </c>
      <c r="D372" t="str">
        <f>"CENTRE DE SANTE POLYVALENT MUTUALISTE"</f>
        <v>CENTRE DE SANTE POLYVALENT MUTUALISTE</v>
      </c>
      <c r="F372" t="str">
        <f>"2 RUE GASTON CHEQ"</f>
        <v>2 RUE GASTON CHEQ</v>
      </c>
      <c r="G372" t="str">
        <f>"SITE DE L'HOPITAL"</f>
        <v>SITE DE L'HOPITAL</v>
      </c>
      <c r="H372" t="str">
        <f>"10200"</f>
        <v>10200</v>
      </c>
      <c r="I372" t="str">
        <f>"BAR SUR AUBE"</f>
        <v>BAR SUR AUBE</v>
      </c>
      <c r="J372" t="str">
        <f>"03 51 72 81 02 "</f>
        <v xml:space="preserve">03 51 72 81 02 </v>
      </c>
      <c r="L372" s="1">
        <v>44725</v>
      </c>
      <c r="M372" t="str">
        <f t="shared" si="62"/>
        <v>124</v>
      </c>
      <c r="N372" t="str">
        <f t="shared" si="63"/>
        <v>Centre de Santé</v>
      </c>
      <c r="O372" t="str">
        <f>"47"</f>
        <v>47</v>
      </c>
      <c r="P372" t="str">
        <f>"Société Mutualiste"</f>
        <v>Société Mutualiste</v>
      </c>
      <c r="Q372" t="str">
        <f t="shared" si="68"/>
        <v>36</v>
      </c>
      <c r="R372" t="str">
        <f t="shared" si="69"/>
        <v>Tarifs conventionnels assurance maladie</v>
      </c>
      <c r="U372" t="str">
        <f>"510024581"</f>
        <v>510024581</v>
      </c>
    </row>
    <row r="373" spans="1:21" x14ac:dyDescent="0.3">
      <c r="A373" t="str">
        <f>"340029693"</f>
        <v>340029693</v>
      </c>
      <c r="B373" t="str">
        <f>"882 385 925 00012"</f>
        <v>882 385 925 00012</v>
      </c>
      <c r="D373" t="str">
        <f>"CDS QUARTIER SANTÉ LEMASSON"</f>
        <v>CDS QUARTIER SANTÉ LEMASSON</v>
      </c>
      <c r="F373" t="str">
        <f>"392 BOULEVARD PEDRO DE LUNA"</f>
        <v>392 BOULEVARD PEDRO DE LUNA</v>
      </c>
      <c r="H373" t="str">
        <f>"34070"</f>
        <v>34070</v>
      </c>
      <c r="I373" t="str">
        <f>"MONTPELLIER"</f>
        <v>MONTPELLIER</v>
      </c>
      <c r="J373" t="str">
        <f>"04 48 19 00 00 "</f>
        <v xml:space="preserve">04 48 19 00 00 </v>
      </c>
      <c r="L373" s="1">
        <v>44725</v>
      </c>
      <c r="M373" t="str">
        <f t="shared" si="62"/>
        <v>124</v>
      </c>
      <c r="N373" t="str">
        <f t="shared" si="63"/>
        <v>Centre de Santé</v>
      </c>
      <c r="O373" t="str">
        <f>"60"</f>
        <v>60</v>
      </c>
      <c r="P373" t="str">
        <f>"Association Loi 1901 non Reconnue d'Utilité Publique"</f>
        <v>Association Loi 1901 non Reconnue d'Utilité Publique</v>
      </c>
      <c r="Q373" t="str">
        <f t="shared" si="68"/>
        <v>36</v>
      </c>
      <c r="R373" t="str">
        <f t="shared" si="69"/>
        <v>Tarifs conventionnels assurance maladie</v>
      </c>
      <c r="U373" t="str">
        <f>"340029685"</f>
        <v>340029685</v>
      </c>
    </row>
    <row r="374" spans="1:21" x14ac:dyDescent="0.3">
      <c r="A374" t="str">
        <f>"670021682"</f>
        <v>670021682</v>
      </c>
      <c r="B374" t="str">
        <f>"904 574 704 00014"</f>
        <v>904 574 704 00014</v>
      </c>
      <c r="D374" t="str">
        <f>"CENTRE D'OPHTALMOLOGIE CERVANTES"</f>
        <v>CENTRE D'OPHTALMOLOGIE CERVANTES</v>
      </c>
      <c r="F374" t="str">
        <f>"17 AVENUE CERVANTES"</f>
        <v>17 AVENUE CERVANTES</v>
      </c>
      <c r="H374" t="str">
        <f>"67200"</f>
        <v>67200</v>
      </c>
      <c r="I374" t="str">
        <f>"STRASBOURG"</f>
        <v>STRASBOURG</v>
      </c>
      <c r="J374" t="str">
        <f>"03 67 10 65 85 "</f>
        <v xml:space="preserve">03 67 10 65 85 </v>
      </c>
      <c r="L374" s="1">
        <v>44725</v>
      </c>
      <c r="M374" t="str">
        <f t="shared" si="62"/>
        <v>124</v>
      </c>
      <c r="N374" t="str">
        <f t="shared" si="63"/>
        <v>Centre de Santé</v>
      </c>
      <c r="O374" t="str">
        <f>"62"</f>
        <v>62</v>
      </c>
      <c r="P374" t="str">
        <f>"Association de Droit Local"</f>
        <v>Association de Droit Local</v>
      </c>
      <c r="Q374" t="str">
        <f t="shared" si="68"/>
        <v>36</v>
      </c>
      <c r="R374" t="str">
        <f t="shared" si="69"/>
        <v>Tarifs conventionnels assurance maladie</v>
      </c>
      <c r="U374" t="str">
        <f>"670021674"</f>
        <v>670021674</v>
      </c>
    </row>
    <row r="375" spans="1:21" x14ac:dyDescent="0.3">
      <c r="A375" t="str">
        <f>"600016687"</f>
        <v>600016687</v>
      </c>
      <c r="B375" t="str">
        <f>"831 645 684 00018"</f>
        <v>831 645 684 00018</v>
      </c>
      <c r="D375" t="str">
        <f>"CSP HYGEIA"</f>
        <v>CSP HYGEIA</v>
      </c>
      <c r="F375" t="str">
        <f>"15 RUE VICTOR HUGO"</f>
        <v>15 RUE VICTOR HUGO</v>
      </c>
      <c r="H375" t="str">
        <f>"60100"</f>
        <v>60100</v>
      </c>
      <c r="I375" t="str">
        <f>"CREIL"</f>
        <v>CREIL</v>
      </c>
      <c r="L375" s="1">
        <v>44722</v>
      </c>
      <c r="M375" t="str">
        <f t="shared" si="62"/>
        <v>124</v>
      </c>
      <c r="N375" t="str">
        <f t="shared" si="63"/>
        <v>Centre de Santé</v>
      </c>
      <c r="O375" t="str">
        <f>"61"</f>
        <v>61</v>
      </c>
      <c r="P375" t="str">
        <f>"Association Loi 1901 Reconnue d'Utilité Publique"</f>
        <v>Association Loi 1901 Reconnue d'Utilité Publique</v>
      </c>
      <c r="Q375" t="str">
        <f t="shared" si="68"/>
        <v>36</v>
      </c>
      <c r="R375" t="str">
        <f t="shared" si="69"/>
        <v>Tarifs conventionnels assurance maladie</v>
      </c>
      <c r="U375" t="str">
        <f>"600016679"</f>
        <v>600016679</v>
      </c>
    </row>
    <row r="376" spans="1:21" x14ac:dyDescent="0.3">
      <c r="A376" t="str">
        <f>"920038577"</f>
        <v>920038577</v>
      </c>
      <c r="B376" t="str">
        <f>"908 550 791 00010"</f>
        <v>908 550 791 00010</v>
      </c>
      <c r="D376" t="str">
        <f>"CDS DENTAIRE ASNIERES GENNEVILLIERS"</f>
        <v>CDS DENTAIRE ASNIERES GENNEVILLIERS</v>
      </c>
      <c r="F376" t="str">
        <f>"92 AVENUE DES GRESILLONS"</f>
        <v>92 AVENUE DES GRESILLONS</v>
      </c>
      <c r="H376" t="str">
        <f>"92600"</f>
        <v>92600</v>
      </c>
      <c r="I376" t="str">
        <f>"ASNIERES SUR SEINE"</f>
        <v>ASNIERES SUR SEINE</v>
      </c>
      <c r="J376" t="str">
        <f>"06 71 24 28 50 "</f>
        <v xml:space="preserve">06 71 24 28 50 </v>
      </c>
      <c r="L376" s="1">
        <v>44722</v>
      </c>
      <c r="M376" t="str">
        <f t="shared" si="62"/>
        <v>124</v>
      </c>
      <c r="N376" t="str">
        <f t="shared" si="63"/>
        <v>Centre de Santé</v>
      </c>
      <c r="O376" t="str">
        <f>"60"</f>
        <v>60</v>
      </c>
      <c r="P376" t="str">
        <f>"Association Loi 1901 non Reconnue d'Utilité Publique"</f>
        <v>Association Loi 1901 non Reconnue d'Utilité Publique</v>
      </c>
      <c r="Q376" t="str">
        <f t="shared" si="68"/>
        <v>36</v>
      </c>
      <c r="R376" t="str">
        <f t="shared" si="69"/>
        <v>Tarifs conventionnels assurance maladie</v>
      </c>
      <c r="U376" t="str">
        <f>"750069817"</f>
        <v>750069817</v>
      </c>
    </row>
    <row r="377" spans="1:21" x14ac:dyDescent="0.3">
      <c r="A377" t="str">
        <f>"750068819"</f>
        <v>750068819</v>
      </c>
      <c r="B377" t="str">
        <f>"901 873 729 00015"</f>
        <v>901 873 729 00015</v>
      </c>
      <c r="D377" t="str">
        <f>"CDS DENTAIRE RUE DE LA POMPE"</f>
        <v>CDS DENTAIRE RUE DE LA POMPE</v>
      </c>
      <c r="F377" t="str">
        <f>"97 RUE DE LA POMPE"</f>
        <v>97 RUE DE LA POMPE</v>
      </c>
      <c r="H377" t="str">
        <f>"75016"</f>
        <v>75016</v>
      </c>
      <c r="I377" t="str">
        <f>"PARIS"</f>
        <v>PARIS</v>
      </c>
      <c r="J377" t="str">
        <f>"01 41 83 84 00 "</f>
        <v xml:space="preserve">01 41 83 84 00 </v>
      </c>
      <c r="L377" s="1">
        <v>44720</v>
      </c>
      <c r="M377" t="str">
        <f t="shared" si="62"/>
        <v>124</v>
      </c>
      <c r="N377" t="str">
        <f t="shared" si="63"/>
        <v>Centre de Santé</v>
      </c>
      <c r="O377" t="str">
        <f>"60"</f>
        <v>60</v>
      </c>
      <c r="P377" t="str">
        <f>"Association Loi 1901 non Reconnue d'Utilité Publique"</f>
        <v>Association Loi 1901 non Reconnue d'Utilité Publique</v>
      </c>
      <c r="Q377" t="str">
        <f t="shared" si="68"/>
        <v>36</v>
      </c>
      <c r="R377" t="str">
        <f t="shared" si="69"/>
        <v>Tarifs conventionnels assurance maladie</v>
      </c>
      <c r="U377" t="str">
        <f>"750068801"</f>
        <v>750068801</v>
      </c>
    </row>
    <row r="378" spans="1:21" x14ac:dyDescent="0.3">
      <c r="A378" t="str">
        <f>"780028387"</f>
        <v>780028387</v>
      </c>
      <c r="B378" t="str">
        <f>"897 681 979 00018"</f>
        <v>897 681 979 00018</v>
      </c>
      <c r="D378" t="str">
        <f>"CDS ANNADENT HOUILLES"</f>
        <v>CDS ANNADENT HOUILLES</v>
      </c>
      <c r="F378" t="str">
        <f>"65 BOULEVARD HENRI BARBUSSE"</f>
        <v>65 BOULEVARD HENRI BARBUSSE</v>
      </c>
      <c r="H378" t="str">
        <f>"78800"</f>
        <v>78800</v>
      </c>
      <c r="I378" t="str">
        <f>"HOUILLES"</f>
        <v>HOUILLES</v>
      </c>
      <c r="J378" t="str">
        <f>"06 21 89 38 18 "</f>
        <v xml:space="preserve">06 21 89 38 18 </v>
      </c>
      <c r="L378" s="1">
        <v>44720</v>
      </c>
      <c r="M378" t="str">
        <f t="shared" si="62"/>
        <v>124</v>
      </c>
      <c r="N378" t="str">
        <f t="shared" si="63"/>
        <v>Centre de Santé</v>
      </c>
      <c r="O378" t="str">
        <f>"60"</f>
        <v>60</v>
      </c>
      <c r="P378" t="str">
        <f>"Association Loi 1901 non Reconnue d'Utilité Publique"</f>
        <v>Association Loi 1901 non Reconnue d'Utilité Publique</v>
      </c>
      <c r="Q378" t="str">
        <f t="shared" si="68"/>
        <v>36</v>
      </c>
      <c r="R378" t="str">
        <f t="shared" si="69"/>
        <v>Tarifs conventionnels assurance maladie</v>
      </c>
      <c r="U378" t="str">
        <f>"780028379"</f>
        <v>780028379</v>
      </c>
    </row>
    <row r="379" spans="1:21" x14ac:dyDescent="0.3">
      <c r="A379" t="str">
        <f>"830026399"</f>
        <v>830026399</v>
      </c>
      <c r="B379" t="str">
        <f>"903 748 754 00012"</f>
        <v>903 748 754 00012</v>
      </c>
      <c r="D379" t="str">
        <f>"CDS DENTAIRE DE LA SEYNE SUR MER"</f>
        <v>CDS DENTAIRE DE LA SEYNE SUR MER</v>
      </c>
      <c r="F379" t="str">
        <f>"2 AVENUE CHARLES GIDE"</f>
        <v>2 AVENUE CHARLES GIDE</v>
      </c>
      <c r="H379" t="str">
        <f>"83500"</f>
        <v>83500</v>
      </c>
      <c r="I379" t="str">
        <f>"LA SEYNE SUR MER"</f>
        <v>LA SEYNE SUR MER</v>
      </c>
      <c r="J379" t="str">
        <f>"06 50 99 43 34 "</f>
        <v xml:space="preserve">06 50 99 43 34 </v>
      </c>
      <c r="L379" s="1">
        <v>44720</v>
      </c>
      <c r="M379" t="str">
        <f t="shared" si="62"/>
        <v>124</v>
      </c>
      <c r="N379" t="str">
        <f t="shared" si="63"/>
        <v>Centre de Santé</v>
      </c>
      <c r="O379" t="str">
        <f>"61"</f>
        <v>61</v>
      </c>
      <c r="P379" t="str">
        <f>"Association Loi 1901 Reconnue d'Utilité Publique"</f>
        <v>Association Loi 1901 Reconnue d'Utilité Publique</v>
      </c>
      <c r="Q379" t="str">
        <f t="shared" si="68"/>
        <v>36</v>
      </c>
      <c r="R379" t="str">
        <f t="shared" si="69"/>
        <v>Tarifs conventionnels assurance maladie</v>
      </c>
      <c r="U379" t="str">
        <f>"830026381"</f>
        <v>830026381</v>
      </c>
    </row>
    <row r="380" spans="1:21" x14ac:dyDescent="0.3">
      <c r="A380" t="str">
        <f>"140033911"</f>
        <v>140033911</v>
      </c>
      <c r="B380" t="str">
        <f>"911 879 443 00016"</f>
        <v>911 879 443 00016</v>
      </c>
      <c r="D380" t="str">
        <f>"CENTRE DE SANTE CAEN NORD OUEST"</f>
        <v>CENTRE DE SANTE CAEN NORD OUEST</v>
      </c>
      <c r="F380" t="str">
        <f>"22 RUE DE LA DEFENSE PASSIVE"</f>
        <v>22 RUE DE LA DEFENSE PASSIVE</v>
      </c>
      <c r="H380" t="str">
        <f>"14000"</f>
        <v>14000</v>
      </c>
      <c r="I380" t="str">
        <f>"CAEN"</f>
        <v>CAEN</v>
      </c>
      <c r="J380" t="str">
        <f>"02 58 50 45 91 "</f>
        <v xml:space="preserve">02 58 50 45 91 </v>
      </c>
      <c r="L380" s="1">
        <v>44719</v>
      </c>
      <c r="M380" t="str">
        <f t="shared" si="62"/>
        <v>124</v>
      </c>
      <c r="N380" t="str">
        <f t="shared" si="63"/>
        <v>Centre de Santé</v>
      </c>
      <c r="O380" t="str">
        <f>"60"</f>
        <v>60</v>
      </c>
      <c r="P380" t="str">
        <f>"Association Loi 1901 non Reconnue d'Utilité Publique"</f>
        <v>Association Loi 1901 non Reconnue d'Utilité Publique</v>
      </c>
      <c r="Q380" t="str">
        <f t="shared" si="68"/>
        <v>36</v>
      </c>
      <c r="R380" t="str">
        <f t="shared" si="69"/>
        <v>Tarifs conventionnels assurance maladie</v>
      </c>
      <c r="U380" t="str">
        <f>"920039005"</f>
        <v>920039005</v>
      </c>
    </row>
    <row r="381" spans="1:21" x14ac:dyDescent="0.3">
      <c r="A381" t="str">
        <f>"690050950"</f>
        <v>690050950</v>
      </c>
      <c r="B381" t="str">
        <f>"892 599 440 00039"</f>
        <v>892 599 440 00039</v>
      </c>
      <c r="D381" t="str">
        <f>"CENTRE DE SANTE LABELIA SAINT-FONS"</f>
        <v>CENTRE DE SANTE LABELIA SAINT-FONS</v>
      </c>
      <c r="F381" t="str">
        <f>"1 AVENUE JEAN JAURES"</f>
        <v>1 AVENUE JEAN JAURES</v>
      </c>
      <c r="H381" t="str">
        <f>"69190"</f>
        <v>69190</v>
      </c>
      <c r="I381" t="str">
        <f>"ST FONS"</f>
        <v>ST FONS</v>
      </c>
      <c r="L381" s="1">
        <v>44718</v>
      </c>
      <c r="M381" t="str">
        <f t="shared" si="62"/>
        <v>124</v>
      </c>
      <c r="N381" t="str">
        <f t="shared" si="63"/>
        <v>Centre de Santé</v>
      </c>
      <c r="O381" t="str">
        <f>"60"</f>
        <v>60</v>
      </c>
      <c r="P381" t="str">
        <f>"Association Loi 1901 non Reconnue d'Utilité Publique"</f>
        <v>Association Loi 1901 non Reconnue d'Utilité Publique</v>
      </c>
      <c r="Q381" t="str">
        <f t="shared" si="68"/>
        <v>36</v>
      </c>
      <c r="R381" t="str">
        <f t="shared" si="69"/>
        <v>Tarifs conventionnels assurance maladie</v>
      </c>
      <c r="U381" t="str">
        <f>"690049952"</f>
        <v>690049952</v>
      </c>
    </row>
    <row r="382" spans="1:21" x14ac:dyDescent="0.3">
      <c r="A382" t="str">
        <f>"130052624"</f>
        <v>130052624</v>
      </c>
      <c r="B382" t="str">
        <f>"791 730 021 00056"</f>
        <v>791 730 021 00056</v>
      </c>
      <c r="D382" t="str">
        <f>"CDS DU ROUET"</f>
        <v>CDS DU ROUET</v>
      </c>
      <c r="F382" t="str">
        <f>"24 BOULEVARD DE MAILLANE"</f>
        <v>24 BOULEVARD DE MAILLANE</v>
      </c>
      <c r="H382" t="str">
        <f>"13008"</f>
        <v>13008</v>
      </c>
      <c r="I382" t="str">
        <f>"MARSEILLE"</f>
        <v>MARSEILLE</v>
      </c>
      <c r="L382" s="1">
        <v>44713</v>
      </c>
      <c r="M382" t="str">
        <f t="shared" si="62"/>
        <v>124</v>
      </c>
      <c r="N382" t="str">
        <f t="shared" si="63"/>
        <v>Centre de Santé</v>
      </c>
      <c r="O382" t="str">
        <f>"61"</f>
        <v>61</v>
      </c>
      <c r="P382" t="str">
        <f>"Association Loi 1901 Reconnue d'Utilité Publique"</f>
        <v>Association Loi 1901 Reconnue d'Utilité Publique</v>
      </c>
      <c r="Q382" t="str">
        <f t="shared" si="68"/>
        <v>36</v>
      </c>
      <c r="R382" t="str">
        <f t="shared" si="69"/>
        <v>Tarifs conventionnels assurance maladie</v>
      </c>
      <c r="U382" t="str">
        <f>"130043722"</f>
        <v>130043722</v>
      </c>
    </row>
    <row r="383" spans="1:21" x14ac:dyDescent="0.3">
      <c r="A383" t="str">
        <f>"470018516"</f>
        <v>470018516</v>
      </c>
      <c r="B383" t="str">
        <f>"901 215 947 00028"</f>
        <v>901 215 947 00028</v>
      </c>
      <c r="D383" t="str">
        <f>"CDS SAGEO AGEN"</f>
        <v>CDS SAGEO AGEN</v>
      </c>
      <c r="F383" t="str">
        <f>"151 BOULEVARD DE LA REPUBLIQUE"</f>
        <v>151 BOULEVARD DE LA REPUBLIQUE</v>
      </c>
      <c r="H383" t="str">
        <f>"47000"</f>
        <v>47000</v>
      </c>
      <c r="I383" t="str">
        <f>"AGEN"</f>
        <v>AGEN</v>
      </c>
      <c r="L383" s="1">
        <v>44713</v>
      </c>
      <c r="M383" t="str">
        <f t="shared" si="62"/>
        <v>124</v>
      </c>
      <c r="N383" t="str">
        <f t="shared" si="63"/>
        <v>Centre de Santé</v>
      </c>
      <c r="O383" t="str">
        <f t="shared" ref="O383:O393" si="70">"60"</f>
        <v>60</v>
      </c>
      <c r="P383" t="str">
        <f t="shared" ref="P383:P393" si="71">"Association Loi 1901 non Reconnue d'Utilité Publique"</f>
        <v>Association Loi 1901 non Reconnue d'Utilité Publique</v>
      </c>
      <c r="Q383" t="str">
        <f t="shared" si="68"/>
        <v>36</v>
      </c>
      <c r="R383" t="str">
        <f t="shared" si="69"/>
        <v>Tarifs conventionnels assurance maladie</v>
      </c>
      <c r="U383" t="str">
        <f>"750070211"</f>
        <v>750070211</v>
      </c>
    </row>
    <row r="384" spans="1:21" x14ac:dyDescent="0.3">
      <c r="A384" t="str">
        <f>"780028718"</f>
        <v>780028718</v>
      </c>
      <c r="B384" t="str">
        <f>"901 976 878 00065"</f>
        <v>901 976 878 00065</v>
      </c>
      <c r="D384" t="str">
        <f>"CDS 4P MONTIGNY"</f>
        <v>CDS 4P MONTIGNY</v>
      </c>
      <c r="F384" t="str">
        <f>"3 AVENUE DES PRES"</f>
        <v>3 AVENUE DES PRES</v>
      </c>
      <c r="H384" t="str">
        <f>"78180"</f>
        <v>78180</v>
      </c>
      <c r="I384" t="str">
        <f>"MONTIGNY LE BRETONNEUX"</f>
        <v>MONTIGNY LE BRETONNEUX</v>
      </c>
      <c r="J384" t="str">
        <f>"06 16 75 29 08 "</f>
        <v xml:space="preserve">06 16 75 29 08 </v>
      </c>
      <c r="L384" s="1">
        <v>44713</v>
      </c>
      <c r="M384" t="str">
        <f t="shared" si="62"/>
        <v>124</v>
      </c>
      <c r="N384" t="str">
        <f t="shared" si="63"/>
        <v>Centre de Santé</v>
      </c>
      <c r="O384" t="str">
        <f t="shared" si="70"/>
        <v>60</v>
      </c>
      <c r="P384" t="str">
        <f t="shared" si="71"/>
        <v>Association Loi 1901 non Reconnue d'Utilité Publique</v>
      </c>
      <c r="Q384" t="str">
        <f t="shared" si="68"/>
        <v>36</v>
      </c>
      <c r="R384" t="str">
        <f t="shared" si="69"/>
        <v>Tarifs conventionnels assurance maladie</v>
      </c>
      <c r="U384" t="str">
        <f>"750069486"</f>
        <v>750069486</v>
      </c>
    </row>
    <row r="385" spans="1:21" x14ac:dyDescent="0.3">
      <c r="A385" t="str">
        <f>"920039013"</f>
        <v>920039013</v>
      </c>
      <c r="B385" t="str">
        <f>"848 964 847 00018"</f>
        <v>848 964 847 00018</v>
      </c>
      <c r="D385" t="str">
        <f>"CDS DE NANTERRE"</f>
        <v>CDS DE NANTERRE</v>
      </c>
      <c r="F385" t="str">
        <f>"RUE PAUL VAILLANT COUTURIER"</f>
        <v>RUE PAUL VAILLANT COUTURIER</v>
      </c>
      <c r="G385" t="str">
        <f>"MONT VALERIEN"</f>
        <v>MONT VALERIEN</v>
      </c>
      <c r="H385" t="str">
        <f>"92000"</f>
        <v>92000</v>
      </c>
      <c r="I385" t="str">
        <f>"NANTERRE"</f>
        <v>NANTERRE</v>
      </c>
      <c r="L385" s="1">
        <v>44713</v>
      </c>
      <c r="M385" t="str">
        <f t="shared" si="62"/>
        <v>124</v>
      </c>
      <c r="N385" t="str">
        <f t="shared" si="63"/>
        <v>Centre de Santé</v>
      </c>
      <c r="O385" t="str">
        <f t="shared" si="70"/>
        <v>60</v>
      </c>
      <c r="P385" t="str">
        <f t="shared" si="71"/>
        <v>Association Loi 1901 non Reconnue d'Utilité Publique</v>
      </c>
      <c r="Q385" t="str">
        <f t="shared" si="68"/>
        <v>36</v>
      </c>
      <c r="R385" t="str">
        <f t="shared" si="69"/>
        <v>Tarifs conventionnels assurance maladie</v>
      </c>
      <c r="U385" t="str">
        <f>"930028980"</f>
        <v>930028980</v>
      </c>
    </row>
    <row r="386" spans="1:21" x14ac:dyDescent="0.3">
      <c r="A386" t="str">
        <f>"930031448"</f>
        <v>930031448</v>
      </c>
      <c r="B386" t="str">
        <f>"905 320 560 00014"</f>
        <v>905 320 560 00014</v>
      </c>
      <c r="D386" t="str">
        <f>"CDS TREMBLAY MEDICO DENTAIRE"</f>
        <v>CDS TREMBLAY MEDICO DENTAIRE</v>
      </c>
      <c r="F386" t="str">
        <f>"41 RUE DU LANGUEDOC"</f>
        <v>41 RUE DU LANGUEDOC</v>
      </c>
      <c r="H386" t="str">
        <f>"93290"</f>
        <v>93290</v>
      </c>
      <c r="I386" t="str">
        <f>"TREMBLAY EN FRANCE"</f>
        <v>TREMBLAY EN FRANCE</v>
      </c>
      <c r="J386" t="str">
        <f>"01 48 60 33 33 "</f>
        <v xml:space="preserve">01 48 60 33 33 </v>
      </c>
      <c r="L386" s="1">
        <v>44713</v>
      </c>
      <c r="M386" t="str">
        <f t="shared" ref="M386:M449" si="72">"124"</f>
        <v>124</v>
      </c>
      <c r="N386" t="str">
        <f t="shared" ref="N386:N449" si="73">"Centre de Santé"</f>
        <v>Centre de Santé</v>
      </c>
      <c r="O386" t="str">
        <f t="shared" si="70"/>
        <v>60</v>
      </c>
      <c r="P386" t="str">
        <f t="shared" si="71"/>
        <v>Association Loi 1901 non Reconnue d'Utilité Publique</v>
      </c>
      <c r="Q386" t="str">
        <f t="shared" si="68"/>
        <v>36</v>
      </c>
      <c r="R386" t="str">
        <f t="shared" si="69"/>
        <v>Tarifs conventionnels assurance maladie</v>
      </c>
      <c r="U386" t="str">
        <f>"930031430"</f>
        <v>930031430</v>
      </c>
    </row>
    <row r="387" spans="1:21" x14ac:dyDescent="0.3">
      <c r="A387" t="str">
        <f>"940027360"</f>
        <v>940027360</v>
      </c>
      <c r="B387" t="str">
        <f>"894 104 140 00013"</f>
        <v>894 104 140 00013</v>
      </c>
      <c r="D387" t="str">
        <f>"CDS BALTARD SANTE"</f>
        <v>CDS BALTARD SANTE</v>
      </c>
      <c r="E387" t="str">
        <f>"5-7"</f>
        <v>5-7</v>
      </c>
      <c r="F387" t="str">
        <f>"5 ALLEE VICTOR BALTARD"</f>
        <v>5 ALLEE VICTOR BALTARD</v>
      </c>
      <c r="H387" t="str">
        <f>"94130"</f>
        <v>94130</v>
      </c>
      <c r="I387" t="str">
        <f>"NOGENT SUR MARNE"</f>
        <v>NOGENT SUR MARNE</v>
      </c>
      <c r="J387" t="str">
        <f>"06 52 19 40 17 "</f>
        <v xml:space="preserve">06 52 19 40 17 </v>
      </c>
      <c r="L387" s="1">
        <v>44713</v>
      </c>
      <c r="M387" t="str">
        <f t="shared" si="72"/>
        <v>124</v>
      </c>
      <c r="N387" t="str">
        <f t="shared" si="73"/>
        <v>Centre de Santé</v>
      </c>
      <c r="O387" t="str">
        <f t="shared" si="70"/>
        <v>60</v>
      </c>
      <c r="P387" t="str">
        <f t="shared" si="71"/>
        <v>Association Loi 1901 non Reconnue d'Utilité Publique</v>
      </c>
      <c r="Q387" t="str">
        <f t="shared" si="68"/>
        <v>36</v>
      </c>
      <c r="R387" t="str">
        <f t="shared" si="69"/>
        <v>Tarifs conventionnels assurance maladie</v>
      </c>
      <c r="U387" t="str">
        <f>"910025675"</f>
        <v>910025675</v>
      </c>
    </row>
    <row r="388" spans="1:21" x14ac:dyDescent="0.3">
      <c r="A388" t="str">
        <f>"940029374"</f>
        <v>940029374</v>
      </c>
      <c r="B388" t="str">
        <f>"909 978 850 00016"</f>
        <v>909 978 850 00016</v>
      </c>
      <c r="D388" t="str">
        <f>"CDS VITRY"</f>
        <v>CDS VITRY</v>
      </c>
      <c r="F388" t="str">
        <f>"38 AVENUE PAUL VAILLANT COUTURIER"</f>
        <v>38 AVENUE PAUL VAILLANT COUTURIER</v>
      </c>
      <c r="H388" t="str">
        <f>"94400"</f>
        <v>94400</v>
      </c>
      <c r="I388" t="str">
        <f>"VITRY SUR SEINE"</f>
        <v>VITRY SUR SEINE</v>
      </c>
      <c r="J388" t="str">
        <f>"01 80 91 44 00 "</f>
        <v xml:space="preserve">01 80 91 44 00 </v>
      </c>
      <c r="L388" s="1">
        <v>44712</v>
      </c>
      <c r="M388" t="str">
        <f t="shared" si="72"/>
        <v>124</v>
      </c>
      <c r="N388" t="str">
        <f t="shared" si="73"/>
        <v>Centre de Santé</v>
      </c>
      <c r="O388" t="str">
        <f t="shared" si="70"/>
        <v>60</v>
      </c>
      <c r="P388" t="str">
        <f t="shared" si="71"/>
        <v>Association Loi 1901 non Reconnue d'Utilité Publique</v>
      </c>
      <c r="Q388" t="str">
        <f t="shared" si="68"/>
        <v>36</v>
      </c>
      <c r="R388" t="str">
        <f t="shared" si="69"/>
        <v>Tarifs conventionnels assurance maladie</v>
      </c>
      <c r="U388" t="str">
        <f>"940029366"</f>
        <v>940029366</v>
      </c>
    </row>
    <row r="389" spans="1:21" x14ac:dyDescent="0.3">
      <c r="A389" t="str">
        <f>"930031307"</f>
        <v>930031307</v>
      </c>
      <c r="B389" t="str">
        <f>"904 312 444 00014"</f>
        <v>904 312 444 00014</v>
      </c>
      <c r="D389" t="str">
        <f>"CDS DENTAIRE NOISY LE SEC"</f>
        <v>CDS DENTAIRE NOISY LE SEC</v>
      </c>
      <c r="F389" t="str">
        <f>"12 ALLEE CHRISTOPHE COLOMB"</f>
        <v>12 ALLEE CHRISTOPHE COLOMB</v>
      </c>
      <c r="G389" t="str">
        <f>"PLACE DES DECOUVERTES"</f>
        <v>PLACE DES DECOUVERTES</v>
      </c>
      <c r="H389" t="str">
        <f>"93130"</f>
        <v>93130</v>
      </c>
      <c r="I389" t="str">
        <f>"NOISY LE SEC"</f>
        <v>NOISY LE SEC</v>
      </c>
      <c r="J389" t="str">
        <f>"01 84 74 84 84 "</f>
        <v xml:space="preserve">01 84 74 84 84 </v>
      </c>
      <c r="L389" s="1">
        <v>44711</v>
      </c>
      <c r="M389" t="str">
        <f t="shared" si="72"/>
        <v>124</v>
      </c>
      <c r="N389" t="str">
        <f t="shared" si="73"/>
        <v>Centre de Santé</v>
      </c>
      <c r="O389" t="str">
        <f t="shared" si="70"/>
        <v>60</v>
      </c>
      <c r="P389" t="str">
        <f t="shared" si="71"/>
        <v>Association Loi 1901 non Reconnue d'Utilité Publique</v>
      </c>
      <c r="Q389" t="str">
        <f t="shared" si="68"/>
        <v>36</v>
      </c>
      <c r="R389" t="str">
        <f t="shared" si="69"/>
        <v>Tarifs conventionnels assurance maladie</v>
      </c>
      <c r="U389" t="str">
        <f>"930031299"</f>
        <v>930031299</v>
      </c>
    </row>
    <row r="390" spans="1:21" x14ac:dyDescent="0.3">
      <c r="A390" t="str">
        <f>"930029038"</f>
        <v>930029038</v>
      </c>
      <c r="D390" t="str">
        <f>"CDS KAVOD SANTE"</f>
        <v>CDS KAVOD SANTE</v>
      </c>
      <c r="F390" t="str">
        <f>"63 AVENUE DE LA DIVISION LECLERC"</f>
        <v>63 AVENUE DE LA DIVISION LECLERC</v>
      </c>
      <c r="H390" t="str">
        <f>"93350"</f>
        <v>93350</v>
      </c>
      <c r="I390" t="str">
        <f>"LE BOURGET"</f>
        <v>LE BOURGET</v>
      </c>
      <c r="L390" s="1">
        <v>44705</v>
      </c>
      <c r="M390" t="str">
        <f t="shared" si="72"/>
        <v>124</v>
      </c>
      <c r="N390" t="str">
        <f t="shared" si="73"/>
        <v>Centre de Santé</v>
      </c>
      <c r="O390" t="str">
        <f t="shared" si="70"/>
        <v>60</v>
      </c>
      <c r="P390" t="str">
        <f t="shared" si="71"/>
        <v>Association Loi 1901 non Reconnue d'Utilité Publique</v>
      </c>
      <c r="Q390" t="str">
        <f t="shared" si="68"/>
        <v>36</v>
      </c>
      <c r="R390" t="str">
        <f t="shared" si="69"/>
        <v>Tarifs conventionnels assurance maladie</v>
      </c>
      <c r="U390" t="str">
        <f>"930031760"</f>
        <v>930031760</v>
      </c>
    </row>
    <row r="391" spans="1:21" x14ac:dyDescent="0.3">
      <c r="A391" t="str">
        <f>"920037454"</f>
        <v>920037454</v>
      </c>
      <c r="B391" t="str">
        <f>"898 417 076 00012"</f>
        <v>898 417 076 00012</v>
      </c>
      <c r="D391" t="str">
        <f>"CDS DENTAIRE D'ANTONY"</f>
        <v>CDS DENTAIRE D'ANTONY</v>
      </c>
      <c r="F391" t="str">
        <f>"132 AVENUE ARISTIDE BRIAND"</f>
        <v>132 AVENUE ARISTIDE BRIAND</v>
      </c>
      <c r="H391" t="str">
        <f>"92160"</f>
        <v>92160</v>
      </c>
      <c r="I391" t="str">
        <f>"ANTONY"</f>
        <v>ANTONY</v>
      </c>
      <c r="J391" t="str">
        <f>"01 43 00 38 38 "</f>
        <v xml:space="preserve">01 43 00 38 38 </v>
      </c>
      <c r="L391" s="1">
        <v>44704</v>
      </c>
      <c r="M391" t="str">
        <f t="shared" si="72"/>
        <v>124</v>
      </c>
      <c r="N391" t="str">
        <f t="shared" si="73"/>
        <v>Centre de Santé</v>
      </c>
      <c r="O391" t="str">
        <f t="shared" si="70"/>
        <v>60</v>
      </c>
      <c r="P391" t="str">
        <f t="shared" si="71"/>
        <v>Association Loi 1901 non Reconnue d'Utilité Publique</v>
      </c>
      <c r="Q391" t="str">
        <f t="shared" si="68"/>
        <v>36</v>
      </c>
      <c r="R391" t="str">
        <f t="shared" si="69"/>
        <v>Tarifs conventionnels assurance maladie</v>
      </c>
      <c r="U391" t="str">
        <f>"750067845"</f>
        <v>750067845</v>
      </c>
    </row>
    <row r="392" spans="1:21" x14ac:dyDescent="0.3">
      <c r="A392" t="str">
        <f>"920038924"</f>
        <v>920038924</v>
      </c>
      <c r="B392" t="str">
        <f>"891 588 568 00016"</f>
        <v>891 588 568 00016</v>
      </c>
      <c r="D392" t="str">
        <f>"CDS MEDICO DENTAIRE DENTOTOP CHAVILLE"</f>
        <v>CDS MEDICO DENTAIRE DENTOTOP CHAVILLE</v>
      </c>
      <c r="F392" t="str">
        <f>"5 PLACE DU MARCHE"</f>
        <v>5 PLACE DU MARCHE</v>
      </c>
      <c r="H392" t="str">
        <f>"92370"</f>
        <v>92370</v>
      </c>
      <c r="I392" t="str">
        <f>"CHAVILLE"</f>
        <v>CHAVILLE</v>
      </c>
      <c r="J392" t="str">
        <f>"01 84 19 14 14 "</f>
        <v xml:space="preserve">01 84 19 14 14 </v>
      </c>
      <c r="L392" s="1">
        <v>44704</v>
      </c>
      <c r="M392" t="str">
        <f t="shared" si="72"/>
        <v>124</v>
      </c>
      <c r="N392" t="str">
        <f t="shared" si="73"/>
        <v>Centre de Santé</v>
      </c>
      <c r="O392" t="str">
        <f t="shared" si="70"/>
        <v>60</v>
      </c>
      <c r="P392" t="str">
        <f t="shared" si="71"/>
        <v>Association Loi 1901 non Reconnue d'Utilité Publique</v>
      </c>
      <c r="Q392" t="str">
        <f t="shared" si="68"/>
        <v>36</v>
      </c>
      <c r="R392" t="str">
        <f t="shared" si="69"/>
        <v>Tarifs conventionnels assurance maladie</v>
      </c>
      <c r="U392" t="str">
        <f>"920038916"</f>
        <v>920038916</v>
      </c>
    </row>
    <row r="393" spans="1:21" x14ac:dyDescent="0.3">
      <c r="A393" t="str">
        <f>"940028202"</f>
        <v>940028202</v>
      </c>
      <c r="B393" t="str">
        <f>"897 830 063 00011"</f>
        <v>897 830 063 00011</v>
      </c>
      <c r="D393" t="str">
        <f>"CDS STALINGRAD"</f>
        <v>CDS STALINGRAD</v>
      </c>
      <c r="F393" t="str">
        <f>"119 BOULEVARD DE STALINGRAD"</f>
        <v>119 BOULEVARD DE STALINGRAD</v>
      </c>
      <c r="H393" t="str">
        <f>"94400"</f>
        <v>94400</v>
      </c>
      <c r="I393" t="str">
        <f>"VITRY SUR SEINE"</f>
        <v>VITRY SUR SEINE</v>
      </c>
      <c r="J393" t="str">
        <f>"01 56 62 00 00 "</f>
        <v xml:space="preserve">01 56 62 00 00 </v>
      </c>
      <c r="L393" s="1">
        <v>44704</v>
      </c>
      <c r="M393" t="str">
        <f t="shared" si="72"/>
        <v>124</v>
      </c>
      <c r="N393" t="str">
        <f t="shared" si="73"/>
        <v>Centre de Santé</v>
      </c>
      <c r="O393" t="str">
        <f t="shared" si="70"/>
        <v>60</v>
      </c>
      <c r="P393" t="str">
        <f t="shared" si="71"/>
        <v>Association Loi 1901 non Reconnue d'Utilité Publique</v>
      </c>
      <c r="Q393" t="str">
        <f t="shared" si="68"/>
        <v>36</v>
      </c>
      <c r="R393" t="str">
        <f t="shared" si="69"/>
        <v>Tarifs conventionnels assurance maladie</v>
      </c>
      <c r="U393" t="str">
        <f>"940028194"</f>
        <v>940028194</v>
      </c>
    </row>
    <row r="394" spans="1:21" x14ac:dyDescent="0.3">
      <c r="A394" t="str">
        <f>"130052806"</f>
        <v>130052806</v>
      </c>
      <c r="B394" t="str">
        <f>"911 497 816 00015"</f>
        <v>911 497 816 00015</v>
      </c>
      <c r="D394" t="str">
        <f>"E2M SANTE"</f>
        <v>E2M SANTE</v>
      </c>
      <c r="F394" t="str">
        <f>"11 ALLEE LEON GAMBETTA"</f>
        <v>11 ALLEE LEON GAMBETTA</v>
      </c>
      <c r="H394" t="str">
        <f>"13001"</f>
        <v>13001</v>
      </c>
      <c r="I394" t="str">
        <f>"MARSEILLE"</f>
        <v>MARSEILLE</v>
      </c>
      <c r="L394" s="1">
        <v>44699</v>
      </c>
      <c r="M394" t="str">
        <f t="shared" si="72"/>
        <v>124</v>
      </c>
      <c r="N394" t="str">
        <f t="shared" si="73"/>
        <v>Centre de Santé</v>
      </c>
      <c r="O394" t="str">
        <f>"61"</f>
        <v>61</v>
      </c>
      <c r="P394" t="str">
        <f>"Association Loi 1901 Reconnue d'Utilité Publique"</f>
        <v>Association Loi 1901 Reconnue d'Utilité Publique</v>
      </c>
      <c r="Q394" t="str">
        <f t="shared" si="68"/>
        <v>36</v>
      </c>
      <c r="R394" t="str">
        <f t="shared" si="69"/>
        <v>Tarifs conventionnels assurance maladie</v>
      </c>
      <c r="U394" t="str">
        <f>"130052798"</f>
        <v>130052798</v>
      </c>
    </row>
    <row r="395" spans="1:21" x14ac:dyDescent="0.3">
      <c r="A395" t="str">
        <f>"590067773"</f>
        <v>590067773</v>
      </c>
      <c r="B395" t="str">
        <f>"893 686 329 00093"</f>
        <v>893 686 329 00093</v>
      </c>
      <c r="D395" t="str">
        <f>"CS D'IMAGERIE MÉDICALE"</f>
        <v>CS D'IMAGERIE MÉDICALE</v>
      </c>
      <c r="F395" t="str">
        <f>"RUE DES INCAS"</f>
        <v>RUE DES INCAS</v>
      </c>
      <c r="H395" t="str">
        <f>"59300"</f>
        <v>59300</v>
      </c>
      <c r="I395" t="str">
        <f>"VALENCIENNES"</f>
        <v>VALENCIENNES</v>
      </c>
      <c r="L395" s="1">
        <v>44698</v>
      </c>
      <c r="M395" t="str">
        <f t="shared" si="72"/>
        <v>124</v>
      </c>
      <c r="N395" t="str">
        <f t="shared" si="73"/>
        <v>Centre de Santé</v>
      </c>
      <c r="O395" t="str">
        <f>"60"</f>
        <v>60</v>
      </c>
      <c r="P395" t="str">
        <f>"Association Loi 1901 non Reconnue d'Utilité Publique"</f>
        <v>Association Loi 1901 non Reconnue d'Utilité Publique</v>
      </c>
      <c r="Q395" t="str">
        <f t="shared" si="68"/>
        <v>36</v>
      </c>
      <c r="R395" t="str">
        <f t="shared" si="69"/>
        <v>Tarifs conventionnels assurance maladie</v>
      </c>
      <c r="U395" t="str">
        <f>"750067472"</f>
        <v>750067472</v>
      </c>
    </row>
    <row r="396" spans="1:21" x14ac:dyDescent="0.3">
      <c r="A396" t="str">
        <f>"500025614"</f>
        <v>500025614</v>
      </c>
      <c r="B396" t="str">
        <f>"775 593 775 00031"</f>
        <v>775 593 775 00031</v>
      </c>
      <c r="D396" t="str">
        <f>"CLAT 50"</f>
        <v>CLAT 50</v>
      </c>
      <c r="F396" t="str">
        <f>"70 RUE DU BUOT"</f>
        <v>70 RUE DU BUOT</v>
      </c>
      <c r="H396" t="str">
        <f>"50009"</f>
        <v>50009</v>
      </c>
      <c r="I396" t="str">
        <f>"ST LO CEDEX"</f>
        <v>ST LO CEDEX</v>
      </c>
      <c r="J396" t="str">
        <f>"02 33 72 19 75 "</f>
        <v xml:space="preserve">02 33 72 19 75 </v>
      </c>
      <c r="K396" t="str">
        <f>"02 33 55 99 56"</f>
        <v>02 33 55 99 56</v>
      </c>
      <c r="L396" s="1">
        <v>44697</v>
      </c>
      <c r="M396" t="str">
        <f t="shared" si="72"/>
        <v>124</v>
      </c>
      <c r="N396" t="str">
        <f t="shared" si="73"/>
        <v>Centre de Santé</v>
      </c>
      <c r="O396" t="str">
        <f>"65"</f>
        <v>65</v>
      </c>
      <c r="P396" t="str">
        <f>"Autre Organisme Privé à But non Lucratif"</f>
        <v>Autre Organisme Privé à But non Lucratif</v>
      </c>
      <c r="Q396" t="str">
        <f t="shared" si="68"/>
        <v>36</v>
      </c>
      <c r="R396" t="str">
        <f t="shared" si="69"/>
        <v>Tarifs conventionnels assurance maladie</v>
      </c>
      <c r="U396" t="str">
        <f>"370011157"</f>
        <v>370011157</v>
      </c>
    </row>
    <row r="397" spans="1:21" x14ac:dyDescent="0.3">
      <c r="A397" t="str">
        <f>"940029085"</f>
        <v>940029085</v>
      </c>
      <c r="B397" t="str">
        <f>"904 743 762 00018"</f>
        <v>904 743 762 00018</v>
      </c>
      <c r="D397" t="str">
        <f>"CDS CRETEIL POINTE DU LAC"</f>
        <v>CDS CRETEIL POINTE DU LAC</v>
      </c>
      <c r="E397" t="str">
        <f>"23-25"</f>
        <v>23-25</v>
      </c>
      <c r="F397" t="str">
        <f>"23 RUE CHARLES GUSTAVE STOSKOPF"</f>
        <v>23 RUE CHARLES GUSTAVE STOSKOPF</v>
      </c>
      <c r="H397" t="str">
        <f>"94000"</f>
        <v>94000</v>
      </c>
      <c r="I397" t="str">
        <f>"CRETEIL"</f>
        <v>CRETEIL</v>
      </c>
      <c r="J397" t="str">
        <f>"06 50 72 50 50 "</f>
        <v xml:space="preserve">06 50 72 50 50 </v>
      </c>
      <c r="L397" s="1">
        <v>44697</v>
      </c>
      <c r="M397" t="str">
        <f t="shared" si="72"/>
        <v>124</v>
      </c>
      <c r="N397" t="str">
        <f t="shared" si="73"/>
        <v>Centre de Santé</v>
      </c>
      <c r="O397" t="str">
        <f>"60"</f>
        <v>60</v>
      </c>
      <c r="P397" t="str">
        <f>"Association Loi 1901 non Reconnue d'Utilité Publique"</f>
        <v>Association Loi 1901 non Reconnue d'Utilité Publique</v>
      </c>
      <c r="Q397" t="str">
        <f t="shared" si="68"/>
        <v>36</v>
      </c>
      <c r="R397" t="str">
        <f t="shared" si="69"/>
        <v>Tarifs conventionnels assurance maladie</v>
      </c>
      <c r="U397" t="str">
        <f>"940029077"</f>
        <v>940029077</v>
      </c>
    </row>
    <row r="398" spans="1:21" x14ac:dyDescent="0.3">
      <c r="A398" t="str">
        <f>"250021367"</f>
        <v>250021367</v>
      </c>
      <c r="B398" t="str">
        <f>"242 504 116 00011"</f>
        <v>242 504 116 00011</v>
      </c>
      <c r="D398" t="str">
        <f>"CDS EPHEMERE DU VAL DE MORTEAU"</f>
        <v>CDS EPHEMERE DU VAL DE MORTEAU</v>
      </c>
      <c r="F398" t="str">
        <f>"4 RUE DE LA LOUHIERE"</f>
        <v>4 RUE DE LA LOUHIERE</v>
      </c>
      <c r="H398" t="str">
        <f>"25500"</f>
        <v>25500</v>
      </c>
      <c r="I398" t="str">
        <f>"MORTEAU"</f>
        <v>MORTEAU</v>
      </c>
      <c r="J398" t="str">
        <f>"03 81 68 56 56 "</f>
        <v xml:space="preserve">03 81 68 56 56 </v>
      </c>
      <c r="L398" s="1">
        <v>44694</v>
      </c>
      <c r="M398" t="str">
        <f t="shared" si="72"/>
        <v>124</v>
      </c>
      <c r="N398" t="str">
        <f t="shared" si="73"/>
        <v>Centre de Santé</v>
      </c>
      <c r="O398" t="str">
        <f>"06"</f>
        <v>06</v>
      </c>
      <c r="P398" t="str">
        <f>"Autre Collectivité Territoriale"</f>
        <v>Autre Collectivité Territoriale</v>
      </c>
      <c r="Q398" t="str">
        <f t="shared" si="68"/>
        <v>36</v>
      </c>
      <c r="R398" t="str">
        <f t="shared" si="69"/>
        <v>Tarifs conventionnels assurance maladie</v>
      </c>
      <c r="U398" t="str">
        <f>"250021359"</f>
        <v>250021359</v>
      </c>
    </row>
    <row r="399" spans="1:21" x14ac:dyDescent="0.3">
      <c r="A399" t="str">
        <f>"300020377"</f>
        <v>300020377</v>
      </c>
      <c r="B399" t="str">
        <f>"909 330 961 00014"</f>
        <v>909 330 961 00014</v>
      </c>
      <c r="D399" t="str">
        <f>"CENTRE DENTAIRE CDS NIMES SANTE"</f>
        <v>CENTRE DENTAIRE CDS NIMES SANTE</v>
      </c>
      <c r="F399" t="str">
        <f>"102 ALLEE DE L'AMERIQUE LATIN"</f>
        <v>102 ALLEE DE L'AMERIQUE LATIN</v>
      </c>
      <c r="H399" t="str">
        <f>"30900"</f>
        <v>30900</v>
      </c>
      <c r="I399" t="str">
        <f>"NIMES"</f>
        <v>NIMES</v>
      </c>
      <c r="J399" t="str">
        <f>"04 48 27 09 30 "</f>
        <v xml:space="preserve">04 48 27 09 30 </v>
      </c>
      <c r="L399" s="1">
        <v>44694</v>
      </c>
      <c r="M399" t="str">
        <f t="shared" si="72"/>
        <v>124</v>
      </c>
      <c r="N399" t="str">
        <f t="shared" si="73"/>
        <v>Centre de Santé</v>
      </c>
      <c r="O399" t="str">
        <f>"60"</f>
        <v>60</v>
      </c>
      <c r="P399" t="str">
        <f>"Association Loi 1901 non Reconnue d'Utilité Publique"</f>
        <v>Association Loi 1901 non Reconnue d'Utilité Publique</v>
      </c>
      <c r="Q399" t="str">
        <f t="shared" si="68"/>
        <v>36</v>
      </c>
      <c r="R399" t="str">
        <f t="shared" si="69"/>
        <v>Tarifs conventionnels assurance maladie</v>
      </c>
      <c r="U399" t="str">
        <f>"300020369"</f>
        <v>300020369</v>
      </c>
    </row>
    <row r="400" spans="1:21" x14ac:dyDescent="0.3">
      <c r="A400" t="str">
        <f>"690051529"</f>
        <v>690051529</v>
      </c>
      <c r="B400" t="str">
        <f>"902 041 953 00016"</f>
        <v>902 041 953 00016</v>
      </c>
      <c r="D400" t="str">
        <f>"CENTRE DE SANTE CROIZAT"</f>
        <v>CENTRE DE SANTE CROIZAT</v>
      </c>
      <c r="F400" t="str">
        <f>"63 BOULEVARD AMBROISE CROIZAT"</f>
        <v>63 BOULEVARD AMBROISE CROIZAT</v>
      </c>
      <c r="H400" t="str">
        <f>"69200"</f>
        <v>69200</v>
      </c>
      <c r="I400" t="str">
        <f>"VENISSIEUX"</f>
        <v>VENISSIEUX</v>
      </c>
      <c r="L400" s="1">
        <v>44694</v>
      </c>
      <c r="M400" t="str">
        <f t="shared" si="72"/>
        <v>124</v>
      </c>
      <c r="N400" t="str">
        <f t="shared" si="73"/>
        <v>Centre de Santé</v>
      </c>
      <c r="O400" t="str">
        <f>"60"</f>
        <v>60</v>
      </c>
      <c r="P400" t="str">
        <f>"Association Loi 1901 non Reconnue d'Utilité Publique"</f>
        <v>Association Loi 1901 non Reconnue d'Utilité Publique</v>
      </c>
      <c r="Q400" t="str">
        <f t="shared" si="68"/>
        <v>36</v>
      </c>
      <c r="R400" t="str">
        <f t="shared" si="69"/>
        <v>Tarifs conventionnels assurance maladie</v>
      </c>
      <c r="U400" t="str">
        <f>"690051511"</f>
        <v>690051511</v>
      </c>
    </row>
    <row r="401" spans="1:21" x14ac:dyDescent="0.3">
      <c r="A401" t="str">
        <f>"940029325"</f>
        <v>940029325</v>
      </c>
      <c r="B401" t="str">
        <f>"911 701 399 00014"</f>
        <v>911 701 399 00014</v>
      </c>
      <c r="D401" t="str">
        <f>"CDS DENTAIRE VITRY DENTECLAIR"</f>
        <v>CDS DENTAIRE VITRY DENTECLAIR</v>
      </c>
      <c r="F401" t="str">
        <f>"ALLEE PIERRE LAMOUROUX"</f>
        <v>ALLEE PIERRE LAMOUROUX</v>
      </c>
      <c r="G401" t="str">
        <f>"CCIAL VIA BELLA 1B"</f>
        <v>CCIAL VIA BELLA 1B</v>
      </c>
      <c r="H401" t="str">
        <f>"94400"</f>
        <v>94400</v>
      </c>
      <c r="I401" t="str">
        <f>"VITRY SUR SEINE"</f>
        <v>VITRY SUR SEINE</v>
      </c>
      <c r="J401" t="str">
        <f>"06 69 38 40 00 "</f>
        <v xml:space="preserve">06 69 38 40 00 </v>
      </c>
      <c r="L401" s="1">
        <v>44693</v>
      </c>
      <c r="M401" t="str">
        <f t="shared" si="72"/>
        <v>124</v>
      </c>
      <c r="N401" t="str">
        <f t="shared" si="73"/>
        <v>Centre de Santé</v>
      </c>
      <c r="O401" t="str">
        <f>"60"</f>
        <v>60</v>
      </c>
      <c r="P401" t="str">
        <f>"Association Loi 1901 non Reconnue d'Utilité Publique"</f>
        <v>Association Loi 1901 non Reconnue d'Utilité Publique</v>
      </c>
      <c r="Q401" t="str">
        <f t="shared" si="68"/>
        <v>36</v>
      </c>
      <c r="R401" t="str">
        <f t="shared" si="69"/>
        <v>Tarifs conventionnels assurance maladie</v>
      </c>
      <c r="U401" t="str">
        <f>"940029317"</f>
        <v>940029317</v>
      </c>
    </row>
    <row r="402" spans="1:21" x14ac:dyDescent="0.3">
      <c r="A402" t="str">
        <f>"590067757"</f>
        <v>590067757</v>
      </c>
      <c r="B402" t="str">
        <f>"895 185 502 00013"</f>
        <v>895 185 502 00013</v>
      </c>
      <c r="D402" t="str">
        <f>"CSD LILLÉNIUM"</f>
        <v>CSD LILLÉNIUM</v>
      </c>
      <c r="E402" t="str">
        <f>"CENTRE COMMERCIAL LILLÉNIUM"</f>
        <v>CENTRE COMMERCIAL LILLÉNIUM</v>
      </c>
      <c r="F402" t="str">
        <f>"2 RUE DU FAUBOURG DES POSTES"</f>
        <v>2 RUE DU FAUBOURG DES POSTES</v>
      </c>
      <c r="H402" t="str">
        <f>"59000"</f>
        <v>59000</v>
      </c>
      <c r="I402" t="str">
        <f>"LILLE"</f>
        <v>LILLE</v>
      </c>
      <c r="L402" s="1">
        <v>44692</v>
      </c>
      <c r="M402" t="str">
        <f t="shared" si="72"/>
        <v>124</v>
      </c>
      <c r="N402" t="str">
        <f t="shared" si="73"/>
        <v>Centre de Santé</v>
      </c>
      <c r="O402" t="str">
        <f>"61"</f>
        <v>61</v>
      </c>
      <c r="P402" t="str">
        <f>"Association Loi 1901 Reconnue d'Utilité Publique"</f>
        <v>Association Loi 1901 Reconnue d'Utilité Publique</v>
      </c>
      <c r="Q402" t="str">
        <f t="shared" si="68"/>
        <v>36</v>
      </c>
      <c r="R402" t="str">
        <f t="shared" si="69"/>
        <v>Tarifs conventionnels assurance maladie</v>
      </c>
      <c r="U402" t="str">
        <f>"590067740"</f>
        <v>590067740</v>
      </c>
    </row>
    <row r="403" spans="1:21" x14ac:dyDescent="0.3">
      <c r="A403" t="str">
        <f>"320005705"</f>
        <v>320005705</v>
      </c>
      <c r="B403" t="str">
        <f>"223 200 015 00970"</f>
        <v>223 200 015 00970</v>
      </c>
      <c r="D403" t="str">
        <f>"CENTRE TERRITORIAL DE SANTÉ"</f>
        <v>CENTRE TERRITORIAL DE SANTÉ</v>
      </c>
      <c r="F403" t="str">
        <f>"20 RUE DU MOULIN"</f>
        <v>20 RUE DU MOULIN</v>
      </c>
      <c r="H403" t="str">
        <f>"32500"</f>
        <v>32500</v>
      </c>
      <c r="I403" t="str">
        <f>"FLEURANCE"</f>
        <v>FLEURANCE</v>
      </c>
      <c r="J403" t="str">
        <f>"05 32 46 00 20 "</f>
        <v xml:space="preserve">05 32 46 00 20 </v>
      </c>
      <c r="L403" s="1">
        <v>44690</v>
      </c>
      <c r="M403" t="str">
        <f t="shared" si="72"/>
        <v>124</v>
      </c>
      <c r="N403" t="str">
        <f t="shared" si="73"/>
        <v>Centre de Santé</v>
      </c>
      <c r="O403" t="str">
        <f>"02"</f>
        <v>02</v>
      </c>
      <c r="P403" t="str">
        <f>"Département"</f>
        <v>Département</v>
      </c>
      <c r="Q403" t="str">
        <f t="shared" si="68"/>
        <v>36</v>
      </c>
      <c r="R403" t="str">
        <f t="shared" si="69"/>
        <v>Tarifs conventionnels assurance maladie</v>
      </c>
      <c r="U403" t="str">
        <f>"320782881"</f>
        <v>320782881</v>
      </c>
    </row>
    <row r="404" spans="1:21" x14ac:dyDescent="0.3">
      <c r="A404" t="str">
        <f>"600016422"</f>
        <v>600016422</v>
      </c>
      <c r="B404" t="str">
        <f>"910 727 049 00017"</f>
        <v>910 727 049 00017</v>
      </c>
      <c r="D404" t="str">
        <f>"CSP DE PLAILLY"</f>
        <v>CSP DE PLAILLY</v>
      </c>
      <c r="F404" t="str">
        <f>"13 RUE ANATOLE PARENT"</f>
        <v>13 RUE ANATOLE PARENT</v>
      </c>
      <c r="H404" t="str">
        <f>"60128"</f>
        <v>60128</v>
      </c>
      <c r="I404" t="str">
        <f>"PLAILLY"</f>
        <v>PLAILLY</v>
      </c>
      <c r="J404" t="str">
        <f>"03 44 37 33 72 "</f>
        <v xml:space="preserve">03 44 37 33 72 </v>
      </c>
      <c r="L404" s="1">
        <v>44690</v>
      </c>
      <c r="M404" t="str">
        <f t="shared" si="72"/>
        <v>124</v>
      </c>
      <c r="N404" t="str">
        <f t="shared" si="73"/>
        <v>Centre de Santé</v>
      </c>
      <c r="O404" t="str">
        <f>"61"</f>
        <v>61</v>
      </c>
      <c r="P404" t="str">
        <f>"Association Loi 1901 Reconnue d'Utilité Publique"</f>
        <v>Association Loi 1901 Reconnue d'Utilité Publique</v>
      </c>
      <c r="Q404" t="str">
        <f t="shared" si="68"/>
        <v>36</v>
      </c>
      <c r="R404" t="str">
        <f t="shared" si="69"/>
        <v>Tarifs conventionnels assurance maladie</v>
      </c>
      <c r="U404" t="str">
        <f>"600016414"</f>
        <v>600016414</v>
      </c>
    </row>
    <row r="405" spans="1:21" x14ac:dyDescent="0.3">
      <c r="A405" t="str">
        <f>"760039016"</f>
        <v>760039016</v>
      </c>
      <c r="B405" t="str">
        <f>"888 641 214 00018"</f>
        <v>888 641 214 00018</v>
      </c>
      <c r="D405" t="str">
        <f>"DENTHYM"</f>
        <v>DENTHYM</v>
      </c>
      <c r="F405" t="str">
        <f>"158 BOULEVARD DE STRASBOURG"</f>
        <v>158 BOULEVARD DE STRASBOURG</v>
      </c>
      <c r="H405" t="str">
        <f>"76600"</f>
        <v>76600</v>
      </c>
      <c r="I405" t="str">
        <f>"LE HAVRE"</f>
        <v>LE HAVRE</v>
      </c>
      <c r="L405" s="1">
        <v>44690</v>
      </c>
      <c r="M405" t="str">
        <f t="shared" si="72"/>
        <v>124</v>
      </c>
      <c r="N405" t="str">
        <f t="shared" si="73"/>
        <v>Centre de Santé</v>
      </c>
      <c r="O405" t="str">
        <f>"60"</f>
        <v>60</v>
      </c>
      <c r="P405" t="str">
        <f>"Association Loi 1901 non Reconnue d'Utilité Publique"</f>
        <v>Association Loi 1901 non Reconnue d'Utilité Publique</v>
      </c>
      <c r="Q405" t="str">
        <f t="shared" si="68"/>
        <v>36</v>
      </c>
      <c r="R405" t="str">
        <f t="shared" si="69"/>
        <v>Tarifs conventionnels assurance maladie</v>
      </c>
      <c r="U405" t="str">
        <f>"760039008"</f>
        <v>760039008</v>
      </c>
    </row>
    <row r="406" spans="1:21" x14ac:dyDescent="0.3">
      <c r="A406" t="str">
        <f>"930031794"</f>
        <v>930031794</v>
      </c>
      <c r="B406" t="str">
        <f>"907 944 482 00013"</f>
        <v>907 944 482 00013</v>
      </c>
      <c r="D406" t="str">
        <f>"CDS ACCESS RADIOLOGIE SAINT DENIS"</f>
        <v>CDS ACCESS RADIOLOGIE SAINT DENIS</v>
      </c>
      <c r="F406" t="str">
        <f>"79 RUE DE STRASBOURG"</f>
        <v>79 RUE DE STRASBOURG</v>
      </c>
      <c r="H406" t="str">
        <f>"93200"</f>
        <v>93200</v>
      </c>
      <c r="I406" t="str">
        <f>"ST DENIS"</f>
        <v>ST DENIS</v>
      </c>
      <c r="J406" t="str">
        <f>"01 84 21 13 13 "</f>
        <v xml:space="preserve">01 84 21 13 13 </v>
      </c>
      <c r="L406" s="1">
        <v>44690</v>
      </c>
      <c r="M406" t="str">
        <f t="shared" si="72"/>
        <v>124</v>
      </c>
      <c r="N406" t="str">
        <f t="shared" si="73"/>
        <v>Centre de Santé</v>
      </c>
      <c r="O406" t="str">
        <f>"60"</f>
        <v>60</v>
      </c>
      <c r="P406" t="str">
        <f>"Association Loi 1901 non Reconnue d'Utilité Publique"</f>
        <v>Association Loi 1901 non Reconnue d'Utilité Publique</v>
      </c>
      <c r="Q406" t="str">
        <f t="shared" si="68"/>
        <v>36</v>
      </c>
      <c r="R406" t="str">
        <f t="shared" si="69"/>
        <v>Tarifs conventionnels assurance maladie</v>
      </c>
      <c r="U406" t="str">
        <f>"930031786"</f>
        <v>930031786</v>
      </c>
    </row>
    <row r="407" spans="1:21" x14ac:dyDescent="0.3">
      <c r="A407" t="str">
        <f>"920038569"</f>
        <v>920038569</v>
      </c>
      <c r="B407" t="str">
        <f>"907 966 527 00018"</f>
        <v>907 966 527 00018</v>
      </c>
      <c r="D407" t="str">
        <f>"CDS DENTAIRE DENTIDEAL"</f>
        <v>CDS DENTAIRE DENTIDEAL</v>
      </c>
      <c r="F407" t="str">
        <f>"34 AVENUE HENRI BARBUSSE"</f>
        <v>34 AVENUE HENRI BARBUSSE</v>
      </c>
      <c r="H407" t="str">
        <f>"92220"</f>
        <v>92220</v>
      </c>
      <c r="I407" t="str">
        <f>"BAGNEUX"</f>
        <v>BAGNEUX</v>
      </c>
      <c r="J407" t="str">
        <f>"06 25 64 44 16 "</f>
        <v xml:space="preserve">06 25 64 44 16 </v>
      </c>
      <c r="L407" s="1">
        <v>44686</v>
      </c>
      <c r="M407" t="str">
        <f t="shared" si="72"/>
        <v>124</v>
      </c>
      <c r="N407" t="str">
        <f t="shared" si="73"/>
        <v>Centre de Santé</v>
      </c>
      <c r="O407" t="str">
        <f>"60"</f>
        <v>60</v>
      </c>
      <c r="P407" t="str">
        <f>"Association Loi 1901 non Reconnue d'Utilité Publique"</f>
        <v>Association Loi 1901 non Reconnue d'Utilité Publique</v>
      </c>
      <c r="Q407" t="str">
        <f t="shared" si="68"/>
        <v>36</v>
      </c>
      <c r="R407" t="str">
        <f t="shared" si="69"/>
        <v>Tarifs conventionnels assurance maladie</v>
      </c>
      <c r="U407" t="str">
        <f>"920038551"</f>
        <v>920038551</v>
      </c>
    </row>
    <row r="408" spans="1:21" x14ac:dyDescent="0.3">
      <c r="A408" t="str">
        <f>"940029069"</f>
        <v>940029069</v>
      </c>
      <c r="B408" t="str">
        <f>"905 119 269 00017"</f>
        <v>905 119 269 00017</v>
      </c>
      <c r="D408" t="str">
        <f>"CDS DENTAIRE DE VILLENEUVE ST GEORGES"</f>
        <v>CDS DENTAIRE DE VILLENEUVE ST GEORGES</v>
      </c>
      <c r="F408" t="str">
        <f>"22 AVENUE CARNOT"</f>
        <v>22 AVENUE CARNOT</v>
      </c>
      <c r="H408" t="str">
        <f>"94190"</f>
        <v>94190</v>
      </c>
      <c r="I408" t="str">
        <f>"VILLENEUVE ST GEORGES"</f>
        <v>VILLENEUVE ST GEORGES</v>
      </c>
      <c r="J408" t="str">
        <f>"07 77 78 27 49 "</f>
        <v xml:space="preserve">07 77 78 27 49 </v>
      </c>
      <c r="L408" s="1">
        <v>44686</v>
      </c>
      <c r="M408" t="str">
        <f t="shared" si="72"/>
        <v>124</v>
      </c>
      <c r="N408" t="str">
        <f t="shared" si="73"/>
        <v>Centre de Santé</v>
      </c>
      <c r="O408" t="str">
        <f>"60"</f>
        <v>60</v>
      </c>
      <c r="P408" t="str">
        <f>"Association Loi 1901 non Reconnue d'Utilité Publique"</f>
        <v>Association Loi 1901 non Reconnue d'Utilité Publique</v>
      </c>
      <c r="Q408" t="str">
        <f t="shared" si="68"/>
        <v>36</v>
      </c>
      <c r="R408" t="str">
        <f t="shared" si="69"/>
        <v>Tarifs conventionnels assurance maladie</v>
      </c>
      <c r="U408" t="str">
        <f>"940029051"</f>
        <v>940029051</v>
      </c>
    </row>
    <row r="409" spans="1:21" x14ac:dyDescent="0.3">
      <c r="A409" t="str">
        <f>"750068058"</f>
        <v>750068058</v>
      </c>
      <c r="B409" t="str">
        <f>"899 522 791 00016"</f>
        <v>899 522 791 00016</v>
      </c>
      <c r="D409" t="str">
        <f>"CDS DENTAIRE BOURSE LOVELY SMILE"</f>
        <v>CDS DENTAIRE BOURSE LOVELY SMILE</v>
      </c>
      <c r="F409" t="str">
        <f>"3 RUE DU 4 SEPTEMBRE"</f>
        <v>3 RUE DU 4 SEPTEMBRE</v>
      </c>
      <c r="H409" t="str">
        <f>"75002"</f>
        <v>75002</v>
      </c>
      <c r="I409" t="str">
        <f>"PARIS"</f>
        <v>PARIS</v>
      </c>
      <c r="J409" t="str">
        <f>"06 15 22 04 91 "</f>
        <v xml:space="preserve">06 15 22 04 91 </v>
      </c>
      <c r="L409" s="1">
        <v>44685</v>
      </c>
      <c r="M409" t="str">
        <f t="shared" si="72"/>
        <v>124</v>
      </c>
      <c r="N409" t="str">
        <f t="shared" si="73"/>
        <v>Centre de Santé</v>
      </c>
      <c r="O409" t="str">
        <f>"60"</f>
        <v>60</v>
      </c>
      <c r="P409" t="str">
        <f>"Association Loi 1901 non Reconnue d'Utilité Publique"</f>
        <v>Association Loi 1901 non Reconnue d'Utilité Publique</v>
      </c>
      <c r="Q409" t="str">
        <f t="shared" si="68"/>
        <v>36</v>
      </c>
      <c r="R409" t="str">
        <f t="shared" si="69"/>
        <v>Tarifs conventionnels assurance maladie</v>
      </c>
      <c r="U409" t="str">
        <f>"750068041"</f>
        <v>750068041</v>
      </c>
    </row>
    <row r="410" spans="1:21" x14ac:dyDescent="0.3">
      <c r="A410" t="str">
        <f>"570030056"</f>
        <v>570030056</v>
      </c>
      <c r="B410" t="str">
        <f>"775 685 316 00017"</f>
        <v>775 685 316 00017</v>
      </c>
      <c r="D410" t="str">
        <f>"CSP FILIERIS DE FORBACH"</f>
        <v>CSP FILIERIS DE FORBACH</v>
      </c>
      <c r="F410" t="str">
        <f>"3 AVENUE SAINT REMY"</f>
        <v>3 AVENUE SAINT REMY</v>
      </c>
      <c r="H410" t="str">
        <f>"57600"</f>
        <v>57600</v>
      </c>
      <c r="I410" t="str">
        <f>"FORBACH"</f>
        <v>FORBACH</v>
      </c>
      <c r="J410" t="str">
        <f>"03 87 85 92 07 "</f>
        <v xml:space="preserve">03 87 85 92 07 </v>
      </c>
      <c r="L410" s="1">
        <v>44684</v>
      </c>
      <c r="M410" t="str">
        <f t="shared" si="72"/>
        <v>124</v>
      </c>
      <c r="N410" t="str">
        <f t="shared" si="73"/>
        <v>Centre de Santé</v>
      </c>
      <c r="O410" t="str">
        <f>"41"</f>
        <v>41</v>
      </c>
      <c r="P410" t="str">
        <f>"Régime Spécial de Sécurité Sociale"</f>
        <v>Régime Spécial de Sécurité Sociale</v>
      </c>
      <c r="Q410" t="str">
        <f t="shared" si="68"/>
        <v>36</v>
      </c>
      <c r="R410" t="str">
        <f t="shared" si="69"/>
        <v>Tarifs conventionnels assurance maladie</v>
      </c>
      <c r="U410" t="str">
        <f>"750050759"</f>
        <v>750050759</v>
      </c>
    </row>
    <row r="411" spans="1:21" x14ac:dyDescent="0.3">
      <c r="A411" t="str">
        <f>"910026145"</f>
        <v>910026145</v>
      </c>
      <c r="B411" t="str">
        <f>"903 746 113 00013"</f>
        <v>903 746 113 00013</v>
      </c>
      <c r="D411" t="str">
        <f>"CDS DENTAIRE IMDE"</f>
        <v>CDS DENTAIRE IMDE</v>
      </c>
      <c r="F411" t="str">
        <f>"5 AVENUE JEAN JAURES"</f>
        <v>5 AVENUE JEAN JAURES</v>
      </c>
      <c r="H411" t="str">
        <f>"91560"</f>
        <v>91560</v>
      </c>
      <c r="I411" t="str">
        <f>"CROSNE"</f>
        <v>CROSNE</v>
      </c>
      <c r="L411" s="1">
        <v>44684</v>
      </c>
      <c r="M411" t="str">
        <f t="shared" si="72"/>
        <v>124</v>
      </c>
      <c r="N411" t="str">
        <f t="shared" si="73"/>
        <v>Centre de Santé</v>
      </c>
      <c r="O411" t="str">
        <f>"60"</f>
        <v>60</v>
      </c>
      <c r="P411" t="str">
        <f>"Association Loi 1901 non Reconnue d'Utilité Publique"</f>
        <v>Association Loi 1901 non Reconnue d'Utilité Publique</v>
      </c>
      <c r="Q411" t="str">
        <f t="shared" si="68"/>
        <v>36</v>
      </c>
      <c r="R411" t="str">
        <f t="shared" si="69"/>
        <v>Tarifs conventionnels assurance maladie</v>
      </c>
      <c r="U411" t="str">
        <f>"910026137"</f>
        <v>910026137</v>
      </c>
    </row>
    <row r="412" spans="1:21" x14ac:dyDescent="0.3">
      <c r="A412" t="str">
        <f>"210013884"</f>
        <v>210013884</v>
      </c>
      <c r="B412" t="str">
        <f>"903 646 545 00017"</f>
        <v>903 646 545 00017</v>
      </c>
      <c r="D412" t="str">
        <f>"CENTRE DE SANTE CITY DIJON"</f>
        <v>CENTRE DE SANTE CITY DIJON</v>
      </c>
      <c r="F412" t="str">
        <f>"26 RUE DU CHATEAU"</f>
        <v>26 RUE DU CHATEAU</v>
      </c>
      <c r="H412" t="str">
        <f>"21000"</f>
        <v>21000</v>
      </c>
      <c r="I412" t="str">
        <f>"DIJON"</f>
        <v>DIJON</v>
      </c>
      <c r="L412" s="1">
        <v>44683</v>
      </c>
      <c r="M412" t="str">
        <f t="shared" si="72"/>
        <v>124</v>
      </c>
      <c r="N412" t="str">
        <f t="shared" si="73"/>
        <v>Centre de Santé</v>
      </c>
      <c r="O412" t="str">
        <f>"60"</f>
        <v>60</v>
      </c>
      <c r="P412" t="str">
        <f>"Association Loi 1901 non Reconnue d'Utilité Publique"</f>
        <v>Association Loi 1901 non Reconnue d'Utilité Publique</v>
      </c>
      <c r="Q412" t="str">
        <f t="shared" si="68"/>
        <v>36</v>
      </c>
      <c r="R412" t="str">
        <f t="shared" si="69"/>
        <v>Tarifs conventionnels assurance maladie</v>
      </c>
      <c r="U412" t="str">
        <f>"210013876"</f>
        <v>210013876</v>
      </c>
    </row>
    <row r="413" spans="1:21" x14ac:dyDescent="0.3">
      <c r="A413" t="str">
        <f>"340029677"</f>
        <v>340029677</v>
      </c>
      <c r="B413" t="str">
        <f>"909 399 719 00014"</f>
        <v>909 399 719 00014</v>
      </c>
      <c r="D413" t="str">
        <f>"CDS DENTAIRE MONTPELLIER ARGELIERS"</f>
        <v>CDS DENTAIRE MONTPELLIER ARGELIERS</v>
      </c>
      <c r="F413" t="str">
        <f>"381 AVENUE DU MAS D'ARGELIERS"</f>
        <v>381 AVENUE DU MAS D'ARGELIERS</v>
      </c>
      <c r="H413" t="str">
        <f>"34000"</f>
        <v>34000</v>
      </c>
      <c r="I413" t="str">
        <f>"MONTPELLIER"</f>
        <v>MONTPELLIER</v>
      </c>
      <c r="L413" s="1">
        <v>44683</v>
      </c>
      <c r="M413" t="str">
        <f t="shared" si="72"/>
        <v>124</v>
      </c>
      <c r="N413" t="str">
        <f t="shared" si="73"/>
        <v>Centre de Santé</v>
      </c>
      <c r="O413" t="str">
        <f>"60"</f>
        <v>60</v>
      </c>
      <c r="P413" t="str">
        <f>"Association Loi 1901 non Reconnue d'Utilité Publique"</f>
        <v>Association Loi 1901 non Reconnue d'Utilité Publique</v>
      </c>
      <c r="Q413" t="str">
        <f t="shared" si="68"/>
        <v>36</v>
      </c>
      <c r="R413" t="str">
        <f t="shared" si="69"/>
        <v>Tarifs conventionnels assurance maladie</v>
      </c>
      <c r="U413" t="str">
        <f>"340029669"</f>
        <v>340029669</v>
      </c>
    </row>
    <row r="414" spans="1:21" x14ac:dyDescent="0.3">
      <c r="A414" t="str">
        <f>"500025606"</f>
        <v>500025606</v>
      </c>
      <c r="B414" t="str">
        <f>"902 979 715 00015"</f>
        <v>902 979 715 00015</v>
      </c>
      <c r="D414" t="str">
        <f>"CENTRE DENTAIRE CHERBOURG CENTRE"</f>
        <v>CENTRE DENTAIRE CHERBOURG CENTRE</v>
      </c>
      <c r="F414" t="str">
        <f>"15 RUE ALBERT MAHIEU"</f>
        <v>15 RUE ALBERT MAHIEU</v>
      </c>
      <c r="H414" t="str">
        <f>"50100"</f>
        <v>50100</v>
      </c>
      <c r="I414" t="str">
        <f>"CHERBOURG EN COTENTIN"</f>
        <v>CHERBOURG EN COTENTIN</v>
      </c>
      <c r="J414" t="str">
        <f>"02 32 73 03 05 "</f>
        <v xml:space="preserve">02 32 73 03 05 </v>
      </c>
      <c r="L414" s="1">
        <v>44683</v>
      </c>
      <c r="M414" t="str">
        <f t="shared" si="72"/>
        <v>124</v>
      </c>
      <c r="N414" t="str">
        <f t="shared" si="73"/>
        <v>Centre de Santé</v>
      </c>
      <c r="O414" t="str">
        <f>"60"</f>
        <v>60</v>
      </c>
      <c r="P414" t="str">
        <f>"Association Loi 1901 non Reconnue d'Utilité Publique"</f>
        <v>Association Loi 1901 non Reconnue d'Utilité Publique</v>
      </c>
      <c r="Q414" t="str">
        <f t="shared" si="68"/>
        <v>36</v>
      </c>
      <c r="R414" t="str">
        <f t="shared" si="69"/>
        <v>Tarifs conventionnels assurance maladie</v>
      </c>
      <c r="U414" t="str">
        <f>"500025598"</f>
        <v>500025598</v>
      </c>
    </row>
    <row r="415" spans="1:21" x14ac:dyDescent="0.3">
      <c r="A415" t="str">
        <f>"590067658"</f>
        <v>590067658</v>
      </c>
      <c r="B415" t="str">
        <f>"810 995 852 00011"</f>
        <v>810 995 852 00011</v>
      </c>
      <c r="D415" t="str">
        <f>"CSD LOMME-LAMBERSART"</f>
        <v>CSD LOMME-LAMBERSART</v>
      </c>
      <c r="F415" t="str">
        <f>"302 AVENUE DE DUNKERQUE"</f>
        <v>302 AVENUE DE DUNKERQUE</v>
      </c>
      <c r="H415" t="str">
        <f>"59130"</f>
        <v>59130</v>
      </c>
      <c r="I415" t="str">
        <f>"LAMBERSART"</f>
        <v>LAMBERSART</v>
      </c>
      <c r="L415" s="1">
        <v>44683</v>
      </c>
      <c r="M415" t="str">
        <f t="shared" si="72"/>
        <v>124</v>
      </c>
      <c r="N415" t="str">
        <f t="shared" si="73"/>
        <v>Centre de Santé</v>
      </c>
      <c r="O415" t="str">
        <f>"60"</f>
        <v>60</v>
      </c>
      <c r="P415" t="str">
        <f>"Association Loi 1901 non Reconnue d'Utilité Publique"</f>
        <v>Association Loi 1901 non Reconnue d'Utilité Publique</v>
      </c>
      <c r="Q415" t="str">
        <f t="shared" si="68"/>
        <v>36</v>
      </c>
      <c r="R415" t="str">
        <f t="shared" si="69"/>
        <v>Tarifs conventionnels assurance maladie</v>
      </c>
      <c r="U415" t="str">
        <f>"750057440"</f>
        <v>750057440</v>
      </c>
    </row>
    <row r="416" spans="1:21" x14ac:dyDescent="0.3">
      <c r="A416" t="str">
        <f>"830026357"</f>
        <v>830026357</v>
      </c>
      <c r="B416" t="str">
        <f>"902 573 971 00014"</f>
        <v>902 573 971 00014</v>
      </c>
      <c r="D416" t="str">
        <f>"CDS MEDICAL ET DENTAIRE FREJUS"</f>
        <v>CDS MEDICAL ET DENTAIRE FREJUS</v>
      </c>
      <c r="F416" t="str">
        <f>"298 AVENUE LOU GABIAN"</f>
        <v>298 AVENUE LOU GABIAN</v>
      </c>
      <c r="H416" t="str">
        <f>"83600"</f>
        <v>83600</v>
      </c>
      <c r="I416" t="str">
        <f>"FREJUS"</f>
        <v>FREJUS</v>
      </c>
      <c r="L416" s="1">
        <v>44683</v>
      </c>
      <c r="M416" t="str">
        <f t="shared" si="72"/>
        <v>124</v>
      </c>
      <c r="N416" t="str">
        <f t="shared" si="73"/>
        <v>Centre de Santé</v>
      </c>
      <c r="O416" t="str">
        <f>"61"</f>
        <v>61</v>
      </c>
      <c r="P416" t="str">
        <f>"Association Loi 1901 Reconnue d'Utilité Publique"</f>
        <v>Association Loi 1901 Reconnue d'Utilité Publique</v>
      </c>
      <c r="Q416" t="str">
        <f t="shared" si="68"/>
        <v>36</v>
      </c>
      <c r="R416" t="str">
        <f t="shared" si="69"/>
        <v>Tarifs conventionnels assurance maladie</v>
      </c>
      <c r="U416" t="str">
        <f>"830026340"</f>
        <v>830026340</v>
      </c>
    </row>
    <row r="417" spans="1:21" x14ac:dyDescent="0.3">
      <c r="A417" t="str">
        <f>"770026102"</f>
        <v>770026102</v>
      </c>
      <c r="B417" t="str">
        <f>"907 594 592 00012"</f>
        <v>907 594 592 00012</v>
      </c>
      <c r="D417" t="str">
        <f>"CDS MED DENTAIRE OPHTALMO PAROZIRIS"</f>
        <v>CDS MED DENTAIRE OPHTALMO PAROZIRIS</v>
      </c>
      <c r="F417" t="str">
        <f>"77 RUE JEAN JAURES"</f>
        <v>77 RUE JEAN JAURES</v>
      </c>
      <c r="H417" t="str">
        <f>"77130"</f>
        <v>77130</v>
      </c>
      <c r="I417" t="str">
        <f>"MONTEREAU FAULT YONNE"</f>
        <v>MONTEREAU FAULT YONNE</v>
      </c>
      <c r="J417" t="str">
        <f>"07 64 83 19 33 "</f>
        <v xml:space="preserve">07 64 83 19 33 </v>
      </c>
      <c r="L417" s="1">
        <v>44680</v>
      </c>
      <c r="M417" t="str">
        <f t="shared" si="72"/>
        <v>124</v>
      </c>
      <c r="N417" t="str">
        <f t="shared" si="73"/>
        <v>Centre de Santé</v>
      </c>
      <c r="O417" t="str">
        <f>"60"</f>
        <v>60</v>
      </c>
      <c r="P417" t="str">
        <f>"Association Loi 1901 non Reconnue d'Utilité Publique"</f>
        <v>Association Loi 1901 non Reconnue d'Utilité Publique</v>
      </c>
      <c r="Q417" t="str">
        <f t="shared" ref="Q417:Q480" si="74">"36"</f>
        <v>36</v>
      </c>
      <c r="R417" t="str">
        <f t="shared" ref="R417:R480" si="75">"Tarifs conventionnels assurance maladie"</f>
        <v>Tarifs conventionnels assurance maladie</v>
      </c>
      <c r="U417" t="str">
        <f>"770026094"</f>
        <v>770026094</v>
      </c>
    </row>
    <row r="418" spans="1:21" x14ac:dyDescent="0.3">
      <c r="A418" t="str">
        <f>"930031612"</f>
        <v>930031612</v>
      </c>
      <c r="B418" t="str">
        <f>"907 461 008 00019"</f>
        <v>907 461 008 00019</v>
      </c>
      <c r="D418" t="str">
        <f>"CDS DIGIMED BOBIGNY"</f>
        <v>CDS DIGIMED BOBIGNY</v>
      </c>
      <c r="F418" t="str">
        <f>"61 RUE LOUIS ARAGON"</f>
        <v>61 RUE LOUIS ARAGON</v>
      </c>
      <c r="H418" t="str">
        <f>"93000"</f>
        <v>93000</v>
      </c>
      <c r="I418" t="str">
        <f>"BOBIGNY"</f>
        <v>BOBIGNY</v>
      </c>
      <c r="J418" t="str">
        <f>"01 86 64 14 90 "</f>
        <v xml:space="preserve">01 86 64 14 90 </v>
      </c>
      <c r="L418" s="1">
        <v>44679</v>
      </c>
      <c r="M418" t="str">
        <f t="shared" si="72"/>
        <v>124</v>
      </c>
      <c r="N418" t="str">
        <f t="shared" si="73"/>
        <v>Centre de Santé</v>
      </c>
      <c r="O418" t="str">
        <f>"60"</f>
        <v>60</v>
      </c>
      <c r="P418" t="str">
        <f>"Association Loi 1901 non Reconnue d'Utilité Publique"</f>
        <v>Association Loi 1901 non Reconnue d'Utilité Publique</v>
      </c>
      <c r="Q418" t="str">
        <f t="shared" si="74"/>
        <v>36</v>
      </c>
      <c r="R418" t="str">
        <f t="shared" si="75"/>
        <v>Tarifs conventionnels assurance maladie</v>
      </c>
      <c r="U418" t="str">
        <f>"930031604"</f>
        <v>930031604</v>
      </c>
    </row>
    <row r="419" spans="1:21" x14ac:dyDescent="0.3">
      <c r="A419" t="str">
        <f>"330064114"</f>
        <v>330064114</v>
      </c>
      <c r="B419" t="str">
        <f>"908 214 083 00010"</f>
        <v>908 214 083 00010</v>
      </c>
      <c r="D419" t="str">
        <f>"CDS DENTAIRE BORDEAUX MERIGNAC"</f>
        <v>CDS DENTAIRE BORDEAUX MERIGNAC</v>
      </c>
      <c r="F419" t="str">
        <f>"3 AVENUE ARIANE"</f>
        <v>3 AVENUE ARIANE</v>
      </c>
      <c r="H419" t="str">
        <f>"33700"</f>
        <v>33700</v>
      </c>
      <c r="I419" t="str">
        <f>"MERIGNAC"</f>
        <v>MERIGNAC</v>
      </c>
      <c r="J419" t="str">
        <f>"06 14 49 25 82 "</f>
        <v xml:space="preserve">06 14 49 25 82 </v>
      </c>
      <c r="L419" s="1">
        <v>44678</v>
      </c>
      <c r="M419" t="str">
        <f t="shared" si="72"/>
        <v>124</v>
      </c>
      <c r="N419" t="str">
        <f t="shared" si="73"/>
        <v>Centre de Santé</v>
      </c>
      <c r="O419" t="str">
        <f>"60"</f>
        <v>60</v>
      </c>
      <c r="P419" t="str">
        <f>"Association Loi 1901 non Reconnue d'Utilité Publique"</f>
        <v>Association Loi 1901 non Reconnue d'Utilité Publique</v>
      </c>
      <c r="Q419" t="str">
        <f t="shared" si="74"/>
        <v>36</v>
      </c>
      <c r="R419" t="str">
        <f t="shared" si="75"/>
        <v>Tarifs conventionnels assurance maladie</v>
      </c>
      <c r="U419" t="str">
        <f>"330064106"</f>
        <v>330064106</v>
      </c>
    </row>
    <row r="420" spans="1:21" x14ac:dyDescent="0.3">
      <c r="A420" t="str">
        <f>"750069379"</f>
        <v>750069379</v>
      </c>
      <c r="B420" t="str">
        <f>"905 318 374 00014"</f>
        <v>905 318 374 00014</v>
      </c>
      <c r="D420" t="str">
        <f>"CDS DENTAIRE IMPRESS"</f>
        <v>CDS DENTAIRE IMPRESS</v>
      </c>
      <c r="F420" t="str">
        <f>"148 BOULEVARD HAUSSMANN"</f>
        <v>148 BOULEVARD HAUSSMANN</v>
      </c>
      <c r="H420" t="str">
        <f>"75008"</f>
        <v>75008</v>
      </c>
      <c r="I420" t="str">
        <f>"PARIS"</f>
        <v>PARIS</v>
      </c>
      <c r="J420" t="str">
        <f>"06 14 98 09 46 "</f>
        <v xml:space="preserve">06 14 98 09 46 </v>
      </c>
      <c r="L420" s="1">
        <v>44677</v>
      </c>
      <c r="M420" t="str">
        <f t="shared" si="72"/>
        <v>124</v>
      </c>
      <c r="N420" t="str">
        <f t="shared" si="73"/>
        <v>Centre de Santé</v>
      </c>
      <c r="O420" t="str">
        <f>"60"</f>
        <v>60</v>
      </c>
      <c r="P420" t="str">
        <f>"Association Loi 1901 non Reconnue d'Utilité Publique"</f>
        <v>Association Loi 1901 non Reconnue d'Utilité Publique</v>
      </c>
      <c r="Q420" t="str">
        <f t="shared" si="74"/>
        <v>36</v>
      </c>
      <c r="R420" t="str">
        <f t="shared" si="75"/>
        <v>Tarifs conventionnels assurance maladie</v>
      </c>
      <c r="U420" t="str">
        <f>"750069361"</f>
        <v>750069361</v>
      </c>
    </row>
    <row r="421" spans="1:21" x14ac:dyDescent="0.3">
      <c r="A421" t="str">
        <f>"750069809"</f>
        <v>750069809</v>
      </c>
      <c r="B421" t="str">
        <f>"908 899 818 00011"</f>
        <v>908 899 818 00011</v>
      </c>
      <c r="D421" t="str">
        <f>"CDS DENTAIRE DENTALPLAN MAGENTA"</f>
        <v>CDS DENTAIRE DENTALPLAN MAGENTA</v>
      </c>
      <c r="F421" t="str">
        <f>"41 RUE DE DUNKERQUE"</f>
        <v>41 RUE DE DUNKERQUE</v>
      </c>
      <c r="H421" t="str">
        <f>"75010"</f>
        <v>75010</v>
      </c>
      <c r="I421" t="str">
        <f>"PARIS"</f>
        <v>PARIS</v>
      </c>
      <c r="J421" t="str">
        <f>"01 78 90 56 80 "</f>
        <v xml:space="preserve">01 78 90 56 80 </v>
      </c>
      <c r="L421" s="1">
        <v>44677</v>
      </c>
      <c r="M421" t="str">
        <f t="shared" si="72"/>
        <v>124</v>
      </c>
      <c r="N421" t="str">
        <f t="shared" si="73"/>
        <v>Centre de Santé</v>
      </c>
      <c r="O421" t="str">
        <f>"60"</f>
        <v>60</v>
      </c>
      <c r="P421" t="str">
        <f>"Association Loi 1901 non Reconnue d'Utilité Publique"</f>
        <v>Association Loi 1901 non Reconnue d'Utilité Publique</v>
      </c>
      <c r="Q421" t="str">
        <f t="shared" si="74"/>
        <v>36</v>
      </c>
      <c r="R421" t="str">
        <f t="shared" si="75"/>
        <v>Tarifs conventionnels assurance maladie</v>
      </c>
      <c r="U421" t="str">
        <f>"750069791"</f>
        <v>750069791</v>
      </c>
    </row>
    <row r="422" spans="1:21" x14ac:dyDescent="0.3">
      <c r="A422" t="str">
        <f>"060030939"</f>
        <v>060030939</v>
      </c>
      <c r="B422" t="str">
        <f>"894 715 770 00018"</f>
        <v>894 715 770 00018</v>
      </c>
      <c r="D422" t="str">
        <f>"CENTRE DENTAIRE ET D'OPHTALMO CANNES"</f>
        <v>CENTRE DENTAIRE ET D'OPHTALMO CANNES</v>
      </c>
      <c r="F422" t="str">
        <f>"17 RUE BUTTURA"</f>
        <v>17 RUE BUTTURA</v>
      </c>
      <c r="H422" t="str">
        <f>"06400"</f>
        <v>06400</v>
      </c>
      <c r="I422" t="str">
        <f>"CANNES"</f>
        <v>CANNES</v>
      </c>
      <c r="J422" t="str">
        <f>"04 22 78 78 20 "</f>
        <v xml:space="preserve">04 22 78 78 20 </v>
      </c>
      <c r="L422" s="1">
        <v>44672</v>
      </c>
      <c r="M422" t="str">
        <f t="shared" si="72"/>
        <v>124</v>
      </c>
      <c r="N422" t="str">
        <f t="shared" si="73"/>
        <v>Centre de Santé</v>
      </c>
      <c r="O422" t="str">
        <f>"61"</f>
        <v>61</v>
      </c>
      <c r="P422" t="str">
        <f>"Association Loi 1901 Reconnue d'Utilité Publique"</f>
        <v>Association Loi 1901 Reconnue d'Utilité Publique</v>
      </c>
      <c r="Q422" t="str">
        <f t="shared" si="74"/>
        <v>36</v>
      </c>
      <c r="R422" t="str">
        <f t="shared" si="75"/>
        <v>Tarifs conventionnels assurance maladie</v>
      </c>
      <c r="U422" t="str">
        <f>"060030921"</f>
        <v>060030921</v>
      </c>
    </row>
    <row r="423" spans="1:21" x14ac:dyDescent="0.3">
      <c r="A423" t="str">
        <f>"530010024"</f>
        <v>530010024</v>
      </c>
      <c r="D423" t="str">
        <f>"CENTRE DE SANTE DE MARTIGNE SUR MAYENN"</f>
        <v>CENTRE DE SANTE DE MARTIGNE SUR MAYENN</v>
      </c>
      <c r="F423" t="str">
        <f>"2 RUE DE LA FONTAINE SAINT-GEORGE"</f>
        <v>2 RUE DE LA FONTAINE SAINT-GEORGE</v>
      </c>
      <c r="H423" t="str">
        <f>"53470"</f>
        <v>53470</v>
      </c>
      <c r="I423" t="str">
        <f>"MARTIGNE SUR MAYENNE"</f>
        <v>MARTIGNE SUR MAYENNE</v>
      </c>
      <c r="L423" s="1">
        <v>44672</v>
      </c>
      <c r="M423" t="str">
        <f t="shared" si="72"/>
        <v>124</v>
      </c>
      <c r="N423" t="str">
        <f t="shared" si="73"/>
        <v>Centre de Santé</v>
      </c>
      <c r="O423" t="str">
        <f>"03"</f>
        <v>03</v>
      </c>
      <c r="P423" t="str">
        <f>"Commune"</f>
        <v>Commune</v>
      </c>
      <c r="Q423" t="str">
        <f t="shared" si="74"/>
        <v>36</v>
      </c>
      <c r="R423" t="str">
        <f t="shared" si="75"/>
        <v>Tarifs conventionnels assurance maladie</v>
      </c>
      <c r="U423" t="str">
        <f>"530010016"</f>
        <v>530010016</v>
      </c>
    </row>
    <row r="424" spans="1:21" x14ac:dyDescent="0.3">
      <c r="A424" t="str">
        <f>"130052384"</f>
        <v>130052384</v>
      </c>
      <c r="B424" t="str">
        <f>"901 320 556 00011"</f>
        <v>901 320 556 00011</v>
      </c>
      <c r="D424" t="str">
        <f>"CDS MEDICAL MEDIKSANTE MARSEILLE"</f>
        <v>CDS MEDICAL MEDIKSANTE MARSEILLE</v>
      </c>
      <c r="F424" t="str">
        <f>"115 RUE"</f>
        <v>115 RUE</v>
      </c>
      <c r="H424" t="str">
        <f>"13006"</f>
        <v>13006</v>
      </c>
      <c r="I424" t="str">
        <f>"MARSEILLE"</f>
        <v>MARSEILLE</v>
      </c>
      <c r="J424" t="str">
        <f>"07 52 57 50 10 "</f>
        <v xml:space="preserve">07 52 57 50 10 </v>
      </c>
      <c r="L424" s="1">
        <v>44671</v>
      </c>
      <c r="M424" t="str">
        <f t="shared" si="72"/>
        <v>124</v>
      </c>
      <c r="N424" t="str">
        <f t="shared" si="73"/>
        <v>Centre de Santé</v>
      </c>
      <c r="O424" t="str">
        <f>"61"</f>
        <v>61</v>
      </c>
      <c r="P424" t="str">
        <f>"Association Loi 1901 Reconnue d'Utilité Publique"</f>
        <v>Association Loi 1901 Reconnue d'Utilité Publique</v>
      </c>
      <c r="Q424" t="str">
        <f t="shared" si="74"/>
        <v>36</v>
      </c>
      <c r="R424" t="str">
        <f t="shared" si="75"/>
        <v>Tarifs conventionnels assurance maladie</v>
      </c>
      <c r="U424" t="str">
        <f>"130052376"</f>
        <v>130052376</v>
      </c>
    </row>
    <row r="425" spans="1:21" x14ac:dyDescent="0.3">
      <c r="A425" t="str">
        <f>"910025592"</f>
        <v>910025592</v>
      </c>
      <c r="B425" t="str">
        <f>"317 235 315 00049"</f>
        <v>317 235 315 00049</v>
      </c>
      <c r="D425" t="str">
        <f>"CDS MEDICAL RIS ORANGIS"</f>
        <v>CDS MEDICAL RIS ORANGIS</v>
      </c>
      <c r="F425" t="str">
        <f>"5 RUE JEAN MOULIN"</f>
        <v>5 RUE JEAN MOULIN</v>
      </c>
      <c r="H425" t="str">
        <f>"91130"</f>
        <v>91130</v>
      </c>
      <c r="I425" t="str">
        <f>"RIS ORANGIS"</f>
        <v>RIS ORANGIS</v>
      </c>
      <c r="L425" s="1">
        <v>44670</v>
      </c>
      <c r="M425" t="str">
        <f t="shared" si="72"/>
        <v>124</v>
      </c>
      <c r="N425" t="str">
        <f t="shared" si="73"/>
        <v>Centre de Santé</v>
      </c>
      <c r="O425" t="str">
        <f>"95"</f>
        <v>95</v>
      </c>
      <c r="P425" t="str">
        <f>"Société par Actions Simplifiée (S.A.S.)"</f>
        <v>Société par Actions Simplifiée (S.A.S.)</v>
      </c>
      <c r="Q425" t="str">
        <f t="shared" si="74"/>
        <v>36</v>
      </c>
      <c r="R425" t="str">
        <f t="shared" si="75"/>
        <v>Tarifs conventionnels assurance maladie</v>
      </c>
      <c r="U425" t="str">
        <f>"910017615"</f>
        <v>910017615</v>
      </c>
    </row>
    <row r="426" spans="1:21" x14ac:dyDescent="0.3">
      <c r="A426" t="str">
        <f>"940029168"</f>
        <v>940029168</v>
      </c>
      <c r="B426" t="str">
        <f>"910 281 799 00015"</f>
        <v>910 281 799 00015</v>
      </c>
      <c r="D426" t="str">
        <f>"CDS MEDI SANTE CENTER"</f>
        <v>CDS MEDI SANTE CENTER</v>
      </c>
      <c r="F426" t="str">
        <f>"48 AVENUE DU PRESIDENT ROOSEVELT"</f>
        <v>48 AVENUE DU PRESIDENT ROOSEVELT</v>
      </c>
      <c r="H426" t="str">
        <f>"94320"</f>
        <v>94320</v>
      </c>
      <c r="I426" t="str">
        <f>"THIAIS"</f>
        <v>THIAIS</v>
      </c>
      <c r="J426" t="str">
        <f>"01 84 23 27 00 "</f>
        <v xml:space="preserve">01 84 23 27 00 </v>
      </c>
      <c r="L426" s="1">
        <v>44670</v>
      </c>
      <c r="M426" t="str">
        <f t="shared" si="72"/>
        <v>124</v>
      </c>
      <c r="N426" t="str">
        <f t="shared" si="73"/>
        <v>Centre de Santé</v>
      </c>
      <c r="O426" t="str">
        <f>"60"</f>
        <v>60</v>
      </c>
      <c r="P426" t="str">
        <f>"Association Loi 1901 non Reconnue d'Utilité Publique"</f>
        <v>Association Loi 1901 non Reconnue d'Utilité Publique</v>
      </c>
      <c r="Q426" t="str">
        <f t="shared" si="74"/>
        <v>36</v>
      </c>
      <c r="R426" t="str">
        <f t="shared" si="75"/>
        <v>Tarifs conventionnels assurance maladie</v>
      </c>
      <c r="U426" t="str">
        <f>"940029150"</f>
        <v>940029150</v>
      </c>
    </row>
    <row r="427" spans="1:21" x14ac:dyDescent="0.3">
      <c r="A427" t="str">
        <f>"750069502"</f>
        <v>750069502</v>
      </c>
      <c r="B427" t="str">
        <f>"905 118 550 00011"</f>
        <v>905 118 550 00011</v>
      </c>
      <c r="D427" t="str">
        <f>"CDS MEDICAL SYGMA SANTE"</f>
        <v>CDS MEDICAL SYGMA SANTE</v>
      </c>
      <c r="F427" t="str">
        <f>"164 RUE DU FAUBOURG POISSONNIERE"</f>
        <v>164 RUE DU FAUBOURG POISSONNIERE</v>
      </c>
      <c r="H427" t="str">
        <f>"75010"</f>
        <v>75010</v>
      </c>
      <c r="I427" t="str">
        <f>"PARIS"</f>
        <v>PARIS</v>
      </c>
      <c r="J427" t="str">
        <f>"01 85 73 26 30 "</f>
        <v xml:space="preserve">01 85 73 26 30 </v>
      </c>
      <c r="L427" s="1">
        <v>44669</v>
      </c>
      <c r="M427" t="str">
        <f t="shared" si="72"/>
        <v>124</v>
      </c>
      <c r="N427" t="str">
        <f t="shared" si="73"/>
        <v>Centre de Santé</v>
      </c>
      <c r="O427" t="str">
        <f>"60"</f>
        <v>60</v>
      </c>
      <c r="P427" t="str">
        <f>"Association Loi 1901 non Reconnue d'Utilité Publique"</f>
        <v>Association Loi 1901 non Reconnue d'Utilité Publique</v>
      </c>
      <c r="Q427" t="str">
        <f t="shared" si="74"/>
        <v>36</v>
      </c>
      <c r="R427" t="str">
        <f t="shared" si="75"/>
        <v>Tarifs conventionnels assurance maladie</v>
      </c>
      <c r="U427" t="str">
        <f>"750069494"</f>
        <v>750069494</v>
      </c>
    </row>
    <row r="428" spans="1:21" x14ac:dyDescent="0.3">
      <c r="A428" t="str">
        <f>"560030793"</f>
        <v>560030793</v>
      </c>
      <c r="D428" t="str">
        <f>"CDS APSIB GROIX"</f>
        <v>CDS APSIB GROIX</v>
      </c>
      <c r="F428" t="str">
        <f>"1 ALLEE DU COUVENT"</f>
        <v>1 ALLEE DU COUVENT</v>
      </c>
      <c r="H428" t="str">
        <f>"56590"</f>
        <v>56590</v>
      </c>
      <c r="I428" t="str">
        <f>"GROIX"</f>
        <v>GROIX</v>
      </c>
      <c r="J428" t="str">
        <f>"02 97 59 46 81 "</f>
        <v xml:space="preserve">02 97 59 46 81 </v>
      </c>
      <c r="L428" s="1">
        <v>44666</v>
      </c>
      <c r="M428" t="str">
        <f t="shared" si="72"/>
        <v>124</v>
      </c>
      <c r="N428" t="str">
        <f t="shared" si="73"/>
        <v>Centre de Santé</v>
      </c>
      <c r="O428" t="str">
        <f>"60"</f>
        <v>60</v>
      </c>
      <c r="P428" t="str">
        <f>"Association Loi 1901 non Reconnue d'Utilité Publique"</f>
        <v>Association Loi 1901 non Reconnue d'Utilité Publique</v>
      </c>
      <c r="Q428" t="str">
        <f t="shared" si="74"/>
        <v>36</v>
      </c>
      <c r="R428" t="str">
        <f t="shared" si="75"/>
        <v>Tarifs conventionnels assurance maladie</v>
      </c>
      <c r="U428" t="str">
        <f>"560029894"</f>
        <v>560029894</v>
      </c>
    </row>
    <row r="429" spans="1:21" x14ac:dyDescent="0.3">
      <c r="A429" t="str">
        <f>"310033923"</f>
        <v>310033923</v>
      </c>
      <c r="B429" t="str">
        <f>"810 995 852 00011"</f>
        <v>810 995 852 00011</v>
      </c>
      <c r="D429" t="str">
        <f>"CTRE SANTE DENTAIRE DOCALI COLOMIERS"</f>
        <v>CTRE SANTE DENTAIRE DOCALI COLOMIERS</v>
      </c>
      <c r="F429" t="str">
        <f>"7 ALLEE D'OCCITANIE"</f>
        <v>7 ALLEE D'OCCITANIE</v>
      </c>
      <c r="H429" t="str">
        <f>"31770"</f>
        <v>31770</v>
      </c>
      <c r="I429" t="str">
        <f>"COLOMIERS"</f>
        <v>COLOMIERS</v>
      </c>
      <c r="J429" t="str">
        <f>"01 47 70 02 50 "</f>
        <v xml:space="preserve">01 47 70 02 50 </v>
      </c>
      <c r="L429" s="1">
        <v>44662</v>
      </c>
      <c r="M429" t="str">
        <f t="shared" si="72"/>
        <v>124</v>
      </c>
      <c r="N429" t="str">
        <f t="shared" si="73"/>
        <v>Centre de Santé</v>
      </c>
      <c r="O429" t="str">
        <f>"60"</f>
        <v>60</v>
      </c>
      <c r="P429" t="str">
        <f>"Association Loi 1901 non Reconnue d'Utilité Publique"</f>
        <v>Association Loi 1901 non Reconnue d'Utilité Publique</v>
      </c>
      <c r="Q429" t="str">
        <f t="shared" si="74"/>
        <v>36</v>
      </c>
      <c r="R429" t="str">
        <f t="shared" si="75"/>
        <v>Tarifs conventionnels assurance maladie</v>
      </c>
      <c r="U429" t="str">
        <f>"750057440"</f>
        <v>750057440</v>
      </c>
    </row>
    <row r="430" spans="1:21" x14ac:dyDescent="0.3">
      <c r="A430" t="str">
        <f>"330063850"</f>
        <v>330063850</v>
      </c>
      <c r="B430" t="str">
        <f>"830 073 276 00271"</f>
        <v>830 073 276 00271</v>
      </c>
      <c r="D430" t="str">
        <f>"CDS DENTAIRE MERIGNAC"</f>
        <v>CDS DENTAIRE MERIGNAC</v>
      </c>
      <c r="F430" t="str">
        <f>"11 AVENUE DE LA LIBERATION"</f>
        <v>11 AVENUE DE LA LIBERATION</v>
      </c>
      <c r="H430" t="str">
        <f>"33700"</f>
        <v>33700</v>
      </c>
      <c r="I430" t="str">
        <f>"MERIGNAC"</f>
        <v>MERIGNAC</v>
      </c>
      <c r="J430" t="str">
        <f>"01 85 11 10 11 "</f>
        <v xml:space="preserve">01 85 11 10 11 </v>
      </c>
      <c r="L430" s="1">
        <v>44662</v>
      </c>
      <c r="M430" t="str">
        <f t="shared" si="72"/>
        <v>124</v>
      </c>
      <c r="N430" t="str">
        <f t="shared" si="73"/>
        <v>Centre de Santé</v>
      </c>
      <c r="O430" t="str">
        <f>"60"</f>
        <v>60</v>
      </c>
      <c r="P430" t="str">
        <f>"Association Loi 1901 non Reconnue d'Utilité Publique"</f>
        <v>Association Loi 1901 non Reconnue d'Utilité Publique</v>
      </c>
      <c r="Q430" t="str">
        <f t="shared" si="74"/>
        <v>36</v>
      </c>
      <c r="R430" t="str">
        <f t="shared" si="75"/>
        <v>Tarifs conventionnels assurance maladie</v>
      </c>
      <c r="U430" t="str">
        <f>"750060345"</f>
        <v>750060345</v>
      </c>
    </row>
    <row r="431" spans="1:21" x14ac:dyDescent="0.3">
      <c r="A431" t="str">
        <f>"970115515"</f>
        <v>970115515</v>
      </c>
      <c r="B431" t="str">
        <f>"903 954 808 00015"</f>
        <v>903 954 808 00015</v>
      </c>
      <c r="D431" t="str">
        <f>"CENTRE DE SANTE OPHTALMO CLIN D'OEIL"</f>
        <v>CENTRE DE SANTE OPHTALMO CLIN D'OEIL</v>
      </c>
      <c r="E431" t="str">
        <f>"IMMEUBLE ANTARES - BAT B"</f>
        <v>IMMEUBLE ANTARES - BAT B</v>
      </c>
      <c r="F431" t="str">
        <f>"RUE GEORGES BIRAS"</f>
        <v>RUE GEORGES BIRAS</v>
      </c>
      <c r="G431" t="str">
        <f>"PROVIDENCE - DOTHEMARE"</f>
        <v>PROVIDENCE - DOTHEMARE</v>
      </c>
      <c r="H431" t="str">
        <f>"97139"</f>
        <v>97139</v>
      </c>
      <c r="I431" t="str">
        <f>"LES ABYMES"</f>
        <v>LES ABYMES</v>
      </c>
      <c r="L431" s="1">
        <v>44662</v>
      </c>
      <c r="M431" t="str">
        <f t="shared" si="72"/>
        <v>124</v>
      </c>
      <c r="N431" t="str">
        <f t="shared" si="73"/>
        <v>Centre de Santé</v>
      </c>
      <c r="O431" t="str">
        <f>"95"</f>
        <v>95</v>
      </c>
      <c r="P431" t="str">
        <f>"Société par Actions Simplifiée (S.A.S.)"</f>
        <v>Société par Actions Simplifiée (S.A.S.)</v>
      </c>
      <c r="Q431" t="str">
        <f t="shared" si="74"/>
        <v>36</v>
      </c>
      <c r="R431" t="str">
        <f t="shared" si="75"/>
        <v>Tarifs conventionnels assurance maladie</v>
      </c>
      <c r="U431" t="str">
        <f>"970115507"</f>
        <v>970115507</v>
      </c>
    </row>
    <row r="432" spans="1:21" x14ac:dyDescent="0.3">
      <c r="A432" t="str">
        <f>"970115572"</f>
        <v>970115572</v>
      </c>
      <c r="B432" t="str">
        <f>"879 831 212 00011"</f>
        <v>879 831 212 00011</v>
      </c>
      <c r="D432" t="str">
        <f>"ALLO CARAIBES ANTENNE DESIRADE"</f>
        <v>ALLO CARAIBES ANTENNE DESIRADE</v>
      </c>
      <c r="F432" t="str">
        <f>"BEAUSÉJOUR"</f>
        <v>BEAUSÉJOUR</v>
      </c>
      <c r="H432" t="str">
        <f>"97127"</f>
        <v>97127</v>
      </c>
      <c r="I432" t="str">
        <f>"LA DESIRADE"</f>
        <v>LA DESIRADE</v>
      </c>
      <c r="L432" s="1">
        <v>44656</v>
      </c>
      <c r="M432" t="str">
        <f t="shared" si="72"/>
        <v>124</v>
      </c>
      <c r="N432" t="str">
        <f t="shared" si="73"/>
        <v>Centre de Santé</v>
      </c>
      <c r="O432" t="str">
        <f>"95"</f>
        <v>95</v>
      </c>
      <c r="P432" t="str">
        <f>"Société par Actions Simplifiée (S.A.S.)"</f>
        <v>Société par Actions Simplifiée (S.A.S.)</v>
      </c>
      <c r="Q432" t="str">
        <f t="shared" si="74"/>
        <v>36</v>
      </c>
      <c r="R432" t="str">
        <f t="shared" si="75"/>
        <v>Tarifs conventionnels assurance maladie</v>
      </c>
      <c r="U432" t="str">
        <f>"970115234"</f>
        <v>970115234</v>
      </c>
    </row>
    <row r="433" spans="1:21" x14ac:dyDescent="0.3">
      <c r="A433" t="str">
        <f>"270030208"</f>
        <v>270030208</v>
      </c>
      <c r="B433" t="str">
        <f>"905 323 986 00018"</f>
        <v>905 323 986 00018</v>
      </c>
      <c r="D433" t="str">
        <f>"CENTRE OPHTALMOLOGIQUE DE LA RISLE"</f>
        <v>CENTRE OPHTALMOLOGIQUE DE LA RISLE</v>
      </c>
      <c r="F433" t="str">
        <f>"57 ROUTE DE LISIEUX"</f>
        <v>57 ROUTE DE LISIEUX</v>
      </c>
      <c r="H433" t="str">
        <f>"27500"</f>
        <v>27500</v>
      </c>
      <c r="I433" t="str">
        <f>"PONT AUDEMER"</f>
        <v>PONT AUDEMER</v>
      </c>
      <c r="L433" s="1">
        <v>44655</v>
      </c>
      <c r="M433" t="str">
        <f t="shared" si="72"/>
        <v>124</v>
      </c>
      <c r="N433" t="str">
        <f t="shared" si="73"/>
        <v>Centre de Santé</v>
      </c>
      <c r="O433" t="str">
        <f>"60"</f>
        <v>60</v>
      </c>
      <c r="P433" t="str">
        <f>"Association Loi 1901 non Reconnue d'Utilité Publique"</f>
        <v>Association Loi 1901 non Reconnue d'Utilité Publique</v>
      </c>
      <c r="Q433" t="str">
        <f t="shared" si="74"/>
        <v>36</v>
      </c>
      <c r="R433" t="str">
        <f t="shared" si="75"/>
        <v>Tarifs conventionnels assurance maladie</v>
      </c>
      <c r="U433" t="str">
        <f>"270030190"</f>
        <v>270030190</v>
      </c>
    </row>
    <row r="434" spans="1:21" x14ac:dyDescent="0.3">
      <c r="A434" t="str">
        <f>"530010008"</f>
        <v>530010008</v>
      </c>
      <c r="B434" t="str">
        <f>"775 609 621 02233"</f>
        <v>775 609 621 02233</v>
      </c>
      <c r="D434" t="str">
        <f>"SMP LOUIS PASTEUR"</f>
        <v>SMP LOUIS PASTEUR</v>
      </c>
      <c r="F434" t="str">
        <f>"5 RUE DES GENÊTS"</f>
        <v>5 RUE DES GENÊTS</v>
      </c>
      <c r="H434" t="str">
        <f>"53410"</f>
        <v>53410</v>
      </c>
      <c r="I434" t="str">
        <f>"ST PIERRE LA COUR"</f>
        <v>ST PIERRE LA COUR</v>
      </c>
      <c r="L434" s="1">
        <v>44655</v>
      </c>
      <c r="M434" t="str">
        <f t="shared" si="72"/>
        <v>124</v>
      </c>
      <c r="N434" t="str">
        <f t="shared" si="73"/>
        <v>Centre de Santé</v>
      </c>
      <c r="O434" t="str">
        <f>"47"</f>
        <v>47</v>
      </c>
      <c r="P434" t="str">
        <f>"Société Mutualiste"</f>
        <v>Société Mutualiste</v>
      </c>
      <c r="Q434" t="str">
        <f t="shared" si="74"/>
        <v>36</v>
      </c>
      <c r="R434" t="str">
        <f t="shared" si="75"/>
        <v>Tarifs conventionnels assurance maladie</v>
      </c>
      <c r="U434" t="str">
        <f>"490535168"</f>
        <v>490535168</v>
      </c>
    </row>
    <row r="435" spans="1:21" x14ac:dyDescent="0.3">
      <c r="A435" t="str">
        <f>"540026549"</f>
        <v>540026549</v>
      </c>
      <c r="B435" t="str">
        <f>"265 400 473 00012"</f>
        <v>265 400 473 00012</v>
      </c>
      <c r="D435" t="str">
        <f>"CENTRE DE SANTE DE LABRY"</f>
        <v>CENTRE DE SANTE DE LABRY</v>
      </c>
      <c r="F435" t="str">
        <f>"22 RUE DES FRERES MOREL"</f>
        <v>22 RUE DES FRERES MOREL</v>
      </c>
      <c r="H435" t="str">
        <f>"54800"</f>
        <v>54800</v>
      </c>
      <c r="I435" t="str">
        <f>"LABRY"</f>
        <v>LABRY</v>
      </c>
      <c r="J435" t="str">
        <f>"03 82 21 58 38 "</f>
        <v xml:space="preserve">03 82 21 58 38 </v>
      </c>
      <c r="L435" s="1">
        <v>44655</v>
      </c>
      <c r="M435" t="str">
        <f t="shared" si="72"/>
        <v>124</v>
      </c>
      <c r="N435" t="str">
        <f t="shared" si="73"/>
        <v>Centre de Santé</v>
      </c>
      <c r="O435" t="str">
        <f>"17"</f>
        <v>17</v>
      </c>
      <c r="P435" t="str">
        <f>"Centre Communal d'Action Sociale"</f>
        <v>Centre Communal d'Action Sociale</v>
      </c>
      <c r="Q435" t="str">
        <f t="shared" si="74"/>
        <v>36</v>
      </c>
      <c r="R435" t="str">
        <f t="shared" si="75"/>
        <v>Tarifs conventionnels assurance maladie</v>
      </c>
      <c r="U435" t="str">
        <f>"540026531"</f>
        <v>540026531</v>
      </c>
    </row>
    <row r="436" spans="1:21" x14ac:dyDescent="0.3">
      <c r="A436" t="str">
        <f>"920037967"</f>
        <v>920037967</v>
      </c>
      <c r="B436" t="str">
        <f>"891 588 477 00010"</f>
        <v>891 588 477 00010</v>
      </c>
      <c r="D436" t="str">
        <f>"CDS MEDICO DENTAIRE DENTOTOP BAGNEUX"</f>
        <v>CDS MEDICO DENTAIRE DENTOTOP BAGNEUX</v>
      </c>
      <c r="F436" t="str">
        <f>"12 PLACE DE LA FONTAINE GUEFFIER"</f>
        <v>12 PLACE DE LA FONTAINE GUEFFIER</v>
      </c>
      <c r="H436" t="str">
        <f>"92220"</f>
        <v>92220</v>
      </c>
      <c r="I436" t="str">
        <f>"BAGNEUX"</f>
        <v>BAGNEUX</v>
      </c>
      <c r="J436" t="str">
        <f>"01 89 16 28 00 "</f>
        <v xml:space="preserve">01 89 16 28 00 </v>
      </c>
      <c r="L436" s="1">
        <v>44655</v>
      </c>
      <c r="M436" t="str">
        <f t="shared" si="72"/>
        <v>124</v>
      </c>
      <c r="N436" t="str">
        <f t="shared" si="73"/>
        <v>Centre de Santé</v>
      </c>
      <c r="O436" t="str">
        <f>"60"</f>
        <v>60</v>
      </c>
      <c r="P436" t="str">
        <f>"Association Loi 1901 non Reconnue d'Utilité Publique"</f>
        <v>Association Loi 1901 non Reconnue d'Utilité Publique</v>
      </c>
      <c r="Q436" t="str">
        <f t="shared" si="74"/>
        <v>36</v>
      </c>
      <c r="R436" t="str">
        <f t="shared" si="75"/>
        <v>Tarifs conventionnels assurance maladie</v>
      </c>
      <c r="U436" t="str">
        <f>"920037959"</f>
        <v>920037959</v>
      </c>
    </row>
    <row r="437" spans="1:21" x14ac:dyDescent="0.3">
      <c r="A437" t="str">
        <f>"970115598"</f>
        <v>970115598</v>
      </c>
      <c r="B437" t="str">
        <f>"901 882 688 00012"</f>
        <v>901 882 688 00012</v>
      </c>
      <c r="D437" t="str">
        <f>"IDEAL SANTE GUADELOUPE"</f>
        <v>IDEAL SANTE GUADELOUPE</v>
      </c>
      <c r="F437" t="str">
        <f>"BOULEVARD DE DESTRELAND"</f>
        <v>BOULEVARD DE DESTRELAND</v>
      </c>
      <c r="G437" t="str">
        <f>"LOTS 57A 57B 57C CCAL DESTRELAND"</f>
        <v>LOTS 57A 57B 57C CCAL DESTRELAND</v>
      </c>
      <c r="H437" t="str">
        <f>"97122"</f>
        <v>97122</v>
      </c>
      <c r="I437" t="str">
        <f>"BAIE MAHAULT"</f>
        <v>BAIE MAHAULT</v>
      </c>
      <c r="J437" t="str">
        <f>"06 87 57 94 59 "</f>
        <v xml:space="preserve">06 87 57 94 59 </v>
      </c>
      <c r="L437" s="1">
        <v>44655</v>
      </c>
      <c r="M437" t="str">
        <f t="shared" si="72"/>
        <v>124</v>
      </c>
      <c r="N437" t="str">
        <f t="shared" si="73"/>
        <v>Centre de Santé</v>
      </c>
      <c r="O437" t="str">
        <f>"61"</f>
        <v>61</v>
      </c>
      <c r="P437" t="str">
        <f>"Association Loi 1901 Reconnue d'Utilité Publique"</f>
        <v>Association Loi 1901 Reconnue d'Utilité Publique</v>
      </c>
      <c r="Q437" t="str">
        <f t="shared" si="74"/>
        <v>36</v>
      </c>
      <c r="R437" t="str">
        <f t="shared" si="75"/>
        <v>Tarifs conventionnels assurance maladie</v>
      </c>
      <c r="U437" t="str">
        <f>"970115580"</f>
        <v>970115580</v>
      </c>
    </row>
    <row r="438" spans="1:21" x14ac:dyDescent="0.3">
      <c r="A438" t="str">
        <f>"190013672"</f>
        <v>190013672</v>
      </c>
      <c r="B438" t="str">
        <f>"675 820 187 00036"</f>
        <v>675 820 187 00036</v>
      </c>
      <c r="D438" t="str">
        <f>"CDS MUTUALISTE SAINT GERMAIN"</f>
        <v>CDS MUTUALISTE SAINT GERMAIN</v>
      </c>
      <c r="F438" t="str">
        <f>"12 BOULEVARD PAUL PAINLEVE"</f>
        <v>12 BOULEVARD PAUL PAINLEVE</v>
      </c>
      <c r="H438" t="str">
        <f>"19100"</f>
        <v>19100</v>
      </c>
      <c r="I438" t="str">
        <f>"BRIVE LA GAILLARDE"</f>
        <v>BRIVE LA GAILLARDE</v>
      </c>
      <c r="J438" t="str">
        <f>"05 55 23 59 00 "</f>
        <v xml:space="preserve">05 55 23 59 00 </v>
      </c>
      <c r="L438" s="1">
        <v>44652</v>
      </c>
      <c r="M438" t="str">
        <f t="shared" si="72"/>
        <v>124</v>
      </c>
      <c r="N438" t="str">
        <f t="shared" si="73"/>
        <v>Centre de Santé</v>
      </c>
      <c r="O438" t="str">
        <f>"73"</f>
        <v>73</v>
      </c>
      <c r="P438" t="str">
        <f>"Société Anonyme (S.A.)"</f>
        <v>Société Anonyme (S.A.)</v>
      </c>
      <c r="Q438" t="str">
        <f t="shared" si="74"/>
        <v>36</v>
      </c>
      <c r="R438" t="str">
        <f t="shared" si="75"/>
        <v>Tarifs conventionnels assurance maladie</v>
      </c>
      <c r="U438" t="str">
        <f>"190001131"</f>
        <v>190001131</v>
      </c>
    </row>
    <row r="439" spans="1:21" x14ac:dyDescent="0.3">
      <c r="A439" t="str">
        <f>"570029983"</f>
        <v>570029983</v>
      </c>
      <c r="B439" t="str">
        <f>"909 897 589 00018"</f>
        <v>909 897 589 00018</v>
      </c>
      <c r="D439" t="str">
        <f>"CTRE DE SOINS INFIRMIERS BOUZONVILLOIS"</f>
        <v>CTRE DE SOINS INFIRMIERS BOUZONVILLOIS</v>
      </c>
      <c r="F439" t="str">
        <f>"10 RUE DE SARRELOUIS"</f>
        <v>10 RUE DE SARRELOUIS</v>
      </c>
      <c r="H439" t="str">
        <f>"57320"</f>
        <v>57320</v>
      </c>
      <c r="I439" t="str">
        <f>"BOUZONVILLE"</f>
        <v>BOUZONVILLE</v>
      </c>
      <c r="J439" t="str">
        <f>"03 87 21 19 22 "</f>
        <v xml:space="preserve">03 87 21 19 22 </v>
      </c>
      <c r="L439" s="1">
        <v>44651</v>
      </c>
      <c r="M439" t="str">
        <f t="shared" si="72"/>
        <v>124</v>
      </c>
      <c r="N439" t="str">
        <f t="shared" si="73"/>
        <v>Centre de Santé</v>
      </c>
      <c r="O439" t="str">
        <f>"62"</f>
        <v>62</v>
      </c>
      <c r="P439" t="str">
        <f>"Association de Droit Local"</f>
        <v>Association de Droit Local</v>
      </c>
      <c r="Q439" t="str">
        <f t="shared" si="74"/>
        <v>36</v>
      </c>
      <c r="R439" t="str">
        <f t="shared" si="75"/>
        <v>Tarifs conventionnels assurance maladie</v>
      </c>
      <c r="U439" t="str">
        <f>"570029975"</f>
        <v>570029975</v>
      </c>
    </row>
    <row r="440" spans="1:21" x14ac:dyDescent="0.3">
      <c r="A440" t="str">
        <f>"130052707"</f>
        <v>130052707</v>
      </c>
      <c r="B440" t="str">
        <f>"879 023 190 00017"</f>
        <v>879 023 190 00017</v>
      </c>
      <c r="D440" t="str">
        <f>"CENTRE DE SANTE DENTAIRE MARSEILLE"</f>
        <v>CENTRE DE SANTE DENTAIRE MARSEILLE</v>
      </c>
      <c r="F440" t="str">
        <f>"102 RUE DE LA REPUBLIQUE"</f>
        <v>102 RUE DE LA REPUBLIQUE</v>
      </c>
      <c r="H440" t="str">
        <f>"13002"</f>
        <v>13002</v>
      </c>
      <c r="I440" t="str">
        <f>"MARSEILLE"</f>
        <v>MARSEILLE</v>
      </c>
      <c r="J440" t="str">
        <f>"06 88 40 95 35 "</f>
        <v xml:space="preserve">06 88 40 95 35 </v>
      </c>
      <c r="L440" s="1">
        <v>44648</v>
      </c>
      <c r="M440" t="str">
        <f t="shared" si="72"/>
        <v>124</v>
      </c>
      <c r="N440" t="str">
        <f t="shared" si="73"/>
        <v>Centre de Santé</v>
      </c>
      <c r="O440" t="str">
        <f>"61"</f>
        <v>61</v>
      </c>
      <c r="P440" t="str">
        <f>"Association Loi 1901 Reconnue d'Utilité Publique"</f>
        <v>Association Loi 1901 Reconnue d'Utilité Publique</v>
      </c>
      <c r="Q440" t="str">
        <f t="shared" si="74"/>
        <v>36</v>
      </c>
      <c r="R440" t="str">
        <f t="shared" si="75"/>
        <v>Tarifs conventionnels assurance maladie</v>
      </c>
      <c r="U440" t="str">
        <f>"130052699"</f>
        <v>130052699</v>
      </c>
    </row>
    <row r="441" spans="1:21" x14ac:dyDescent="0.3">
      <c r="A441" t="str">
        <f>"440058410"</f>
        <v>440058410</v>
      </c>
      <c r="B441" t="str">
        <f>"884 838 210 00018"</f>
        <v>884 838 210 00018</v>
      </c>
      <c r="D441" t="str">
        <f>"CDS DENTAIRE VERTUO ST HERBLAIN"</f>
        <v>CDS DENTAIRE VERTUO ST HERBLAIN</v>
      </c>
      <c r="F441" t="str">
        <f>"BOULEVARD DE LA BAULE"</f>
        <v>BOULEVARD DE LA BAULE</v>
      </c>
      <c r="G441" t="str">
        <f>"CENTRE COMMERCIAL CARREFOUR"</f>
        <v>CENTRE COMMERCIAL CARREFOUR</v>
      </c>
      <c r="H441" t="str">
        <f>"44800"</f>
        <v>44800</v>
      </c>
      <c r="I441" t="str">
        <f>"ST HERBLAIN"</f>
        <v>ST HERBLAIN</v>
      </c>
      <c r="J441" t="str">
        <f>"06 79 84 20 31 "</f>
        <v xml:space="preserve">06 79 84 20 31 </v>
      </c>
      <c r="L441" s="1">
        <v>44648</v>
      </c>
      <c r="M441" t="str">
        <f t="shared" si="72"/>
        <v>124</v>
      </c>
      <c r="N441" t="str">
        <f t="shared" si="73"/>
        <v>Centre de Santé</v>
      </c>
      <c r="O441" t="str">
        <f>"60"</f>
        <v>60</v>
      </c>
      <c r="P441" t="str">
        <f>"Association Loi 1901 non Reconnue d'Utilité Publique"</f>
        <v>Association Loi 1901 non Reconnue d'Utilité Publique</v>
      </c>
      <c r="Q441" t="str">
        <f t="shared" si="74"/>
        <v>36</v>
      </c>
      <c r="R441" t="str">
        <f t="shared" si="75"/>
        <v>Tarifs conventionnels assurance maladie</v>
      </c>
      <c r="U441" t="str">
        <f>"440058402"</f>
        <v>440058402</v>
      </c>
    </row>
    <row r="442" spans="1:21" x14ac:dyDescent="0.3">
      <c r="A442" t="str">
        <f>"490022126"</f>
        <v>490022126</v>
      </c>
      <c r="B442" t="str">
        <f>"892 205 808 00025"</f>
        <v>892 205 808 00025</v>
      </c>
      <c r="D442" t="str">
        <f>"CENTRE DENT ET VIE CHOLET"</f>
        <v>CENTRE DENT ET VIE CHOLET</v>
      </c>
      <c r="F442" t="str">
        <f>"81 RUE NATIONALE"</f>
        <v>81 RUE NATIONALE</v>
      </c>
      <c r="H442" t="str">
        <f>"49300"</f>
        <v>49300</v>
      </c>
      <c r="I442" t="str">
        <f>"CHOLET"</f>
        <v>CHOLET</v>
      </c>
      <c r="J442" t="str">
        <f>"06 10 10 37 87 "</f>
        <v xml:space="preserve">06 10 10 37 87 </v>
      </c>
      <c r="L442" s="1">
        <v>44648</v>
      </c>
      <c r="M442" t="str">
        <f t="shared" si="72"/>
        <v>124</v>
      </c>
      <c r="N442" t="str">
        <f t="shared" si="73"/>
        <v>Centre de Santé</v>
      </c>
      <c r="O442" t="str">
        <f>"60"</f>
        <v>60</v>
      </c>
      <c r="P442" t="str">
        <f>"Association Loi 1901 non Reconnue d'Utilité Publique"</f>
        <v>Association Loi 1901 non Reconnue d'Utilité Publique</v>
      </c>
      <c r="Q442" t="str">
        <f t="shared" si="74"/>
        <v>36</v>
      </c>
      <c r="R442" t="str">
        <f t="shared" si="75"/>
        <v>Tarifs conventionnels assurance maladie</v>
      </c>
      <c r="U442" t="str">
        <f>"490022605"</f>
        <v>490022605</v>
      </c>
    </row>
    <row r="443" spans="1:21" x14ac:dyDescent="0.3">
      <c r="A443" t="str">
        <f>"670020734"</f>
        <v>670020734</v>
      </c>
      <c r="B443" t="str">
        <f>"882 541 923 00018"</f>
        <v>882 541 923 00018</v>
      </c>
      <c r="D443" t="str">
        <f>"CENTRE DE SANTE DENTAIRE KALIDENTS"</f>
        <v>CENTRE DE SANTE DENTAIRE KALIDENTS</v>
      </c>
      <c r="F443" t="str">
        <f>"72 ROUTE D'OBERHAUSBERGEN"</f>
        <v>72 ROUTE D'OBERHAUSBERGEN</v>
      </c>
      <c r="H443" t="str">
        <f>"67200"</f>
        <v>67200</v>
      </c>
      <c r="I443" t="str">
        <f>"STRASBOURG"</f>
        <v>STRASBOURG</v>
      </c>
      <c r="J443" t="str">
        <f>"09 73 88 47 53 "</f>
        <v xml:space="preserve">09 73 88 47 53 </v>
      </c>
      <c r="L443" s="1">
        <v>44648</v>
      </c>
      <c r="M443" t="str">
        <f t="shared" si="72"/>
        <v>124</v>
      </c>
      <c r="N443" t="str">
        <f t="shared" si="73"/>
        <v>Centre de Santé</v>
      </c>
      <c r="O443" t="str">
        <f>"62"</f>
        <v>62</v>
      </c>
      <c r="P443" t="str">
        <f>"Association de Droit Local"</f>
        <v>Association de Droit Local</v>
      </c>
      <c r="Q443" t="str">
        <f t="shared" si="74"/>
        <v>36</v>
      </c>
      <c r="R443" t="str">
        <f t="shared" si="75"/>
        <v>Tarifs conventionnels assurance maladie</v>
      </c>
      <c r="U443" t="str">
        <f>"670020726"</f>
        <v>670020726</v>
      </c>
    </row>
    <row r="444" spans="1:21" x14ac:dyDescent="0.3">
      <c r="A444" t="str">
        <f>"940027352"</f>
        <v>940027352</v>
      </c>
      <c r="B444" t="str">
        <f>"892 120 460 00019"</f>
        <v>892 120 460 00019</v>
      </c>
      <c r="D444" t="str">
        <f>"CDS DENTAIRE DE FONTENAY SOUS BOIS"</f>
        <v>CDS DENTAIRE DE FONTENAY SOUS BOIS</v>
      </c>
      <c r="F444" t="str">
        <f>"14 RUE LOUIS AUROUX"</f>
        <v>14 RUE LOUIS AUROUX</v>
      </c>
      <c r="H444" t="str">
        <f>"94120"</f>
        <v>94120</v>
      </c>
      <c r="I444" t="str">
        <f>"FONTENAY SOUS BOIS"</f>
        <v>FONTENAY SOUS BOIS</v>
      </c>
      <c r="J444" t="str">
        <f>"01 85 72 85 72 "</f>
        <v xml:space="preserve">01 85 72 85 72 </v>
      </c>
      <c r="L444" s="1">
        <v>44648</v>
      </c>
      <c r="M444" t="str">
        <f t="shared" si="72"/>
        <v>124</v>
      </c>
      <c r="N444" t="str">
        <f t="shared" si="73"/>
        <v>Centre de Santé</v>
      </c>
      <c r="O444" t="str">
        <f>"60"</f>
        <v>60</v>
      </c>
      <c r="P444" t="str">
        <f>"Association Loi 1901 non Reconnue d'Utilité Publique"</f>
        <v>Association Loi 1901 non Reconnue d'Utilité Publique</v>
      </c>
      <c r="Q444" t="str">
        <f t="shared" si="74"/>
        <v>36</v>
      </c>
      <c r="R444" t="str">
        <f t="shared" si="75"/>
        <v>Tarifs conventionnels assurance maladie</v>
      </c>
      <c r="U444" t="str">
        <f>"940027345"</f>
        <v>940027345</v>
      </c>
    </row>
    <row r="445" spans="1:21" x14ac:dyDescent="0.3">
      <c r="A445" t="str">
        <f>"950046466"</f>
        <v>950046466</v>
      </c>
      <c r="B445" t="str">
        <f>"903 257 707 00013"</f>
        <v>903 257 707 00013</v>
      </c>
      <c r="D445" t="str">
        <f>"CENTRE DENTAIRE BEZONS MAIRIE"</f>
        <v>CENTRE DENTAIRE BEZONS MAIRIE</v>
      </c>
      <c r="F445" t="str">
        <f>"63 RUE EDOUARD VAILLANT"</f>
        <v>63 RUE EDOUARD VAILLANT</v>
      </c>
      <c r="H445" t="str">
        <f>"95870"</f>
        <v>95870</v>
      </c>
      <c r="I445" t="str">
        <f>"BEZONS"</f>
        <v>BEZONS</v>
      </c>
      <c r="J445" t="str">
        <f>"01 43 00 38 38 "</f>
        <v xml:space="preserve">01 43 00 38 38 </v>
      </c>
      <c r="L445" s="1">
        <v>44648</v>
      </c>
      <c r="M445" t="str">
        <f t="shared" si="72"/>
        <v>124</v>
      </c>
      <c r="N445" t="str">
        <f t="shared" si="73"/>
        <v>Centre de Santé</v>
      </c>
      <c r="O445" t="str">
        <f>"60"</f>
        <v>60</v>
      </c>
      <c r="P445" t="str">
        <f>"Association Loi 1901 non Reconnue d'Utilité Publique"</f>
        <v>Association Loi 1901 non Reconnue d'Utilité Publique</v>
      </c>
      <c r="Q445" t="str">
        <f t="shared" si="74"/>
        <v>36</v>
      </c>
      <c r="R445" t="str">
        <f t="shared" si="75"/>
        <v>Tarifs conventionnels assurance maladie</v>
      </c>
      <c r="U445" t="str">
        <f>"920038601"</f>
        <v>920038601</v>
      </c>
    </row>
    <row r="446" spans="1:21" x14ac:dyDescent="0.3">
      <c r="A446" t="str">
        <f>"390008357"</f>
        <v>390008357</v>
      </c>
      <c r="B446" t="str">
        <f>"903 442 507 00021"</f>
        <v>903 442 507 00021</v>
      </c>
      <c r="D446" t="str">
        <f>"CENTRE DE SANTE DENTAIRE LOUIS PASTEUR"</f>
        <v>CENTRE DE SANTE DENTAIRE LOUIS PASTEUR</v>
      </c>
      <c r="F446" t="str">
        <f>"4 RUE PASTEUR"</f>
        <v>4 RUE PASTEUR</v>
      </c>
      <c r="H446" t="str">
        <f>"39000"</f>
        <v>39000</v>
      </c>
      <c r="I446" t="str">
        <f>"LONS LE SAUNIER"</f>
        <v>LONS LE SAUNIER</v>
      </c>
      <c r="J446" t="str">
        <f>"03 84 24 03 07 "</f>
        <v xml:space="preserve">03 84 24 03 07 </v>
      </c>
      <c r="L446" s="1">
        <v>44645</v>
      </c>
      <c r="M446" t="str">
        <f t="shared" si="72"/>
        <v>124</v>
      </c>
      <c r="N446" t="str">
        <f t="shared" si="73"/>
        <v>Centre de Santé</v>
      </c>
      <c r="O446" t="str">
        <f>"60"</f>
        <v>60</v>
      </c>
      <c r="P446" t="str">
        <f>"Association Loi 1901 non Reconnue d'Utilité Publique"</f>
        <v>Association Loi 1901 non Reconnue d'Utilité Publique</v>
      </c>
      <c r="Q446" t="str">
        <f t="shared" si="74"/>
        <v>36</v>
      </c>
      <c r="R446" t="str">
        <f t="shared" si="75"/>
        <v>Tarifs conventionnels assurance maladie</v>
      </c>
      <c r="U446" t="str">
        <f>"940029192"</f>
        <v>940029192</v>
      </c>
    </row>
    <row r="447" spans="1:21" x14ac:dyDescent="0.3">
      <c r="A447" t="str">
        <f>"750067217"</f>
        <v>750067217</v>
      </c>
      <c r="B447" t="str">
        <f>"891 584 278 00016"</f>
        <v>891 584 278 00016</v>
      </c>
      <c r="D447" t="str">
        <f>"CDS MEDICAL BACHAUMONT"</f>
        <v>CDS MEDICAL BACHAUMONT</v>
      </c>
      <c r="F447" t="str">
        <f>"9 RUE BACHAUMONT"</f>
        <v>9 RUE BACHAUMONT</v>
      </c>
      <c r="H447" t="str">
        <f>"75002"</f>
        <v>75002</v>
      </c>
      <c r="I447" t="str">
        <f>"PARIS"</f>
        <v>PARIS</v>
      </c>
      <c r="J447" t="str">
        <f>"01 40 26 05 78 "</f>
        <v xml:space="preserve">01 40 26 05 78 </v>
      </c>
      <c r="L447" s="1">
        <v>44645</v>
      </c>
      <c r="M447" t="str">
        <f t="shared" si="72"/>
        <v>124</v>
      </c>
      <c r="N447" t="str">
        <f t="shared" si="73"/>
        <v>Centre de Santé</v>
      </c>
      <c r="O447" t="str">
        <f>"60"</f>
        <v>60</v>
      </c>
      <c r="P447" t="str">
        <f>"Association Loi 1901 non Reconnue d'Utilité Publique"</f>
        <v>Association Loi 1901 non Reconnue d'Utilité Publique</v>
      </c>
      <c r="Q447" t="str">
        <f t="shared" si="74"/>
        <v>36</v>
      </c>
      <c r="R447" t="str">
        <f t="shared" si="75"/>
        <v>Tarifs conventionnels assurance maladie</v>
      </c>
      <c r="U447" t="str">
        <f>"750067209"</f>
        <v>750067209</v>
      </c>
    </row>
    <row r="448" spans="1:21" x14ac:dyDescent="0.3">
      <c r="A448" t="str">
        <f>"800021446"</f>
        <v>800021446</v>
      </c>
      <c r="B448" t="str">
        <f>"908 019 383 00011"</f>
        <v>908 019 383 00011</v>
      </c>
      <c r="D448" t="str">
        <f>"CSD FRANÇAIS AMIENS"</f>
        <v>CSD FRANÇAIS AMIENS</v>
      </c>
      <c r="F448" t="str">
        <f>"2 BOULEVARD DE BELFORT"</f>
        <v>2 BOULEVARD DE BELFORT</v>
      </c>
      <c r="H448" t="str">
        <f>"80000"</f>
        <v>80000</v>
      </c>
      <c r="I448" t="str">
        <f>"AMIENS"</f>
        <v>AMIENS</v>
      </c>
      <c r="J448" t="str">
        <f>"06 70 03 72 55 "</f>
        <v xml:space="preserve">06 70 03 72 55 </v>
      </c>
      <c r="L448" s="1">
        <v>44644</v>
      </c>
      <c r="M448" t="str">
        <f t="shared" si="72"/>
        <v>124</v>
      </c>
      <c r="N448" t="str">
        <f t="shared" si="73"/>
        <v>Centre de Santé</v>
      </c>
      <c r="O448" t="str">
        <f>"61"</f>
        <v>61</v>
      </c>
      <c r="P448" t="str">
        <f>"Association Loi 1901 Reconnue d'Utilité Publique"</f>
        <v>Association Loi 1901 Reconnue d'Utilité Publique</v>
      </c>
      <c r="Q448" t="str">
        <f t="shared" si="74"/>
        <v>36</v>
      </c>
      <c r="R448" t="str">
        <f t="shared" si="75"/>
        <v>Tarifs conventionnels assurance maladie</v>
      </c>
      <c r="U448" t="str">
        <f>"800021438"</f>
        <v>800021438</v>
      </c>
    </row>
    <row r="449" spans="1:21" x14ac:dyDescent="0.3">
      <c r="A449" t="str">
        <f>"800021453"</f>
        <v>800021453</v>
      </c>
      <c r="B449" t="str">
        <f>"879 209 914 00016"</f>
        <v>879 209 914 00016</v>
      </c>
      <c r="D449" t="str">
        <f>"CSD DENTAL ACTIVE AMIENS"</f>
        <v>CSD DENTAL ACTIVE AMIENS</v>
      </c>
      <c r="F449" t="str">
        <f>"17 RUE DE LA RÉPUBLIQUE"</f>
        <v>17 RUE DE LA RÉPUBLIQUE</v>
      </c>
      <c r="H449" t="str">
        <f>"80000"</f>
        <v>80000</v>
      </c>
      <c r="I449" t="str">
        <f>"AMIENS"</f>
        <v>AMIENS</v>
      </c>
      <c r="L449" s="1">
        <v>44644</v>
      </c>
      <c r="M449" t="str">
        <f t="shared" si="72"/>
        <v>124</v>
      </c>
      <c r="N449" t="str">
        <f t="shared" si="73"/>
        <v>Centre de Santé</v>
      </c>
      <c r="O449" t="str">
        <f>"61"</f>
        <v>61</v>
      </c>
      <c r="P449" t="str">
        <f>"Association Loi 1901 Reconnue d'Utilité Publique"</f>
        <v>Association Loi 1901 Reconnue d'Utilité Publique</v>
      </c>
      <c r="Q449" t="str">
        <f t="shared" si="74"/>
        <v>36</v>
      </c>
      <c r="R449" t="str">
        <f t="shared" si="75"/>
        <v>Tarifs conventionnels assurance maladie</v>
      </c>
      <c r="U449" t="str">
        <f>"600015234"</f>
        <v>600015234</v>
      </c>
    </row>
    <row r="450" spans="1:21" x14ac:dyDescent="0.3">
      <c r="A450" t="str">
        <f>"760039677"</f>
        <v>760039677</v>
      </c>
      <c r="B450" t="str">
        <f>"810 995 852 00177"</f>
        <v>810 995 852 00177</v>
      </c>
      <c r="D450" t="str">
        <f>"CENTRE DE SANTE DENTAIRE ROUEN"</f>
        <v>CENTRE DE SANTE DENTAIRE ROUEN</v>
      </c>
      <c r="F450" t="str">
        <f>"94 RUE SAINT SEVER"</f>
        <v>94 RUE SAINT SEVER</v>
      </c>
      <c r="H450" t="str">
        <f>"76100"</f>
        <v>76100</v>
      </c>
      <c r="I450" t="str">
        <f>"ROUEN"</f>
        <v>ROUEN</v>
      </c>
      <c r="J450" t="str">
        <f>"01 47 70 02 50 "</f>
        <v xml:space="preserve">01 47 70 02 50 </v>
      </c>
      <c r="L450" s="1">
        <v>44641</v>
      </c>
      <c r="M450" t="str">
        <f t="shared" ref="M450:M513" si="76">"124"</f>
        <v>124</v>
      </c>
      <c r="N450" t="str">
        <f t="shared" ref="N450:N513" si="77">"Centre de Santé"</f>
        <v>Centre de Santé</v>
      </c>
      <c r="O450" t="str">
        <f>"60"</f>
        <v>60</v>
      </c>
      <c r="P450" t="str">
        <f>"Association Loi 1901 non Reconnue d'Utilité Publique"</f>
        <v>Association Loi 1901 non Reconnue d'Utilité Publique</v>
      </c>
      <c r="Q450" t="str">
        <f t="shared" si="74"/>
        <v>36</v>
      </c>
      <c r="R450" t="str">
        <f t="shared" si="75"/>
        <v>Tarifs conventionnels assurance maladie</v>
      </c>
      <c r="U450" t="str">
        <f>"750057440"</f>
        <v>750057440</v>
      </c>
    </row>
    <row r="451" spans="1:21" x14ac:dyDescent="0.3">
      <c r="A451" t="str">
        <f>"950046425"</f>
        <v>950046425</v>
      </c>
      <c r="B451" t="str">
        <f>"907 787 410 00014"</f>
        <v>907 787 410 00014</v>
      </c>
      <c r="D451" t="str">
        <f>"CDS D OPHTALMOLOGIE PIERRE BROSSOLETTE"</f>
        <v>CDS D OPHTALMOLOGIE PIERRE BROSSOLETTE</v>
      </c>
      <c r="F451" t="str">
        <f>"44 RUE PIERRE BROSSOLETTE"</f>
        <v>44 RUE PIERRE BROSSOLETTE</v>
      </c>
      <c r="H451" t="str">
        <f>"95200"</f>
        <v>95200</v>
      </c>
      <c r="I451" t="str">
        <f>"SARCELLES"</f>
        <v>SARCELLES</v>
      </c>
      <c r="J451" t="str">
        <f>"01 39 86 85 65 "</f>
        <v xml:space="preserve">01 39 86 85 65 </v>
      </c>
      <c r="L451" s="1">
        <v>44641</v>
      </c>
      <c r="M451" t="str">
        <f t="shared" si="76"/>
        <v>124</v>
      </c>
      <c r="N451" t="str">
        <f t="shared" si="77"/>
        <v>Centre de Santé</v>
      </c>
      <c r="O451" t="str">
        <f>"60"</f>
        <v>60</v>
      </c>
      <c r="P451" t="str">
        <f>"Association Loi 1901 non Reconnue d'Utilité Publique"</f>
        <v>Association Loi 1901 non Reconnue d'Utilité Publique</v>
      </c>
      <c r="Q451" t="str">
        <f t="shared" si="74"/>
        <v>36</v>
      </c>
      <c r="R451" t="str">
        <f t="shared" si="75"/>
        <v>Tarifs conventionnels assurance maladie</v>
      </c>
      <c r="U451" t="str">
        <f>"950046417"</f>
        <v>950046417</v>
      </c>
    </row>
    <row r="452" spans="1:21" x14ac:dyDescent="0.3">
      <c r="A452" t="str">
        <f>"750069270"</f>
        <v>750069270</v>
      </c>
      <c r="B452" t="str">
        <f>"904 372 141 00013"</f>
        <v>904 372 141 00013</v>
      </c>
      <c r="D452" t="str">
        <f>"CDS DENTAIRE PARIS CLICHY"</f>
        <v>CDS DENTAIRE PARIS CLICHY</v>
      </c>
      <c r="F452" t="str">
        <f>"119 AVENUE DE CLICHY"</f>
        <v>119 AVENUE DE CLICHY</v>
      </c>
      <c r="H452" t="str">
        <f>"75017"</f>
        <v>75017</v>
      </c>
      <c r="I452" t="str">
        <f>"PARIS"</f>
        <v>PARIS</v>
      </c>
      <c r="J452" t="str">
        <f>"01 85 01 30 60 "</f>
        <v xml:space="preserve">01 85 01 30 60 </v>
      </c>
      <c r="L452" s="1">
        <v>44638</v>
      </c>
      <c r="M452" t="str">
        <f t="shared" si="76"/>
        <v>124</v>
      </c>
      <c r="N452" t="str">
        <f t="shared" si="77"/>
        <v>Centre de Santé</v>
      </c>
      <c r="O452" t="str">
        <f>"60"</f>
        <v>60</v>
      </c>
      <c r="P452" t="str">
        <f>"Association Loi 1901 non Reconnue d'Utilité Publique"</f>
        <v>Association Loi 1901 non Reconnue d'Utilité Publique</v>
      </c>
      <c r="Q452" t="str">
        <f t="shared" si="74"/>
        <v>36</v>
      </c>
      <c r="R452" t="str">
        <f t="shared" si="75"/>
        <v>Tarifs conventionnels assurance maladie</v>
      </c>
      <c r="U452" t="str">
        <f>"750069262"</f>
        <v>750069262</v>
      </c>
    </row>
    <row r="453" spans="1:21" x14ac:dyDescent="0.3">
      <c r="A453" t="str">
        <f>"130052616"</f>
        <v>130052616</v>
      </c>
      <c r="B453" t="str">
        <f>"894 389 212 00016"</f>
        <v>894 389 212 00016</v>
      </c>
      <c r="D453" t="str">
        <f>"CENTRE DE SANTÉ ART DENT LA VALENTINE"</f>
        <v>CENTRE DE SANTÉ ART DENT LA VALENTINE</v>
      </c>
      <c r="F453" t="str">
        <f>"117 TRAVERSE DE LA MONTRE"</f>
        <v>117 TRAVERSE DE LA MONTRE</v>
      </c>
      <c r="H453" t="str">
        <f>"13011"</f>
        <v>13011</v>
      </c>
      <c r="I453" t="str">
        <f>"MARSEILLE"</f>
        <v>MARSEILLE</v>
      </c>
      <c r="J453" t="str">
        <f>"06 19 94 60 82 "</f>
        <v xml:space="preserve">06 19 94 60 82 </v>
      </c>
      <c r="L453" s="1">
        <v>44635</v>
      </c>
      <c r="M453" t="str">
        <f t="shared" si="76"/>
        <v>124</v>
      </c>
      <c r="N453" t="str">
        <f t="shared" si="77"/>
        <v>Centre de Santé</v>
      </c>
      <c r="O453" t="str">
        <f>"61"</f>
        <v>61</v>
      </c>
      <c r="P453" t="str">
        <f>"Association Loi 1901 Reconnue d'Utilité Publique"</f>
        <v>Association Loi 1901 Reconnue d'Utilité Publique</v>
      </c>
      <c r="Q453" t="str">
        <f t="shared" si="74"/>
        <v>36</v>
      </c>
      <c r="R453" t="str">
        <f t="shared" si="75"/>
        <v>Tarifs conventionnels assurance maladie</v>
      </c>
      <c r="U453" t="str">
        <f>"130052608"</f>
        <v>130052608</v>
      </c>
    </row>
    <row r="454" spans="1:21" x14ac:dyDescent="0.3">
      <c r="A454" t="str">
        <f>"350055950"</f>
        <v>350055950</v>
      </c>
      <c r="B454" t="str">
        <f>"213 500 150 00015"</f>
        <v>213 500 150 00015</v>
      </c>
      <c r="D454" t="str">
        <f>"CDS DE BALAZE"</f>
        <v>CDS DE BALAZE</v>
      </c>
      <c r="F454" t="str">
        <f>"2 RUE DU DOCTEUR ANNE HALAIS"</f>
        <v>2 RUE DU DOCTEUR ANNE HALAIS</v>
      </c>
      <c r="H454" t="str">
        <f>"35500"</f>
        <v>35500</v>
      </c>
      <c r="I454" t="str">
        <f>"BALAZE"</f>
        <v>BALAZE</v>
      </c>
      <c r="J454" t="str">
        <f>"02 99 76 97 18 "</f>
        <v xml:space="preserve">02 99 76 97 18 </v>
      </c>
      <c r="L454" s="1">
        <v>44634</v>
      </c>
      <c r="M454" t="str">
        <f t="shared" si="76"/>
        <v>124</v>
      </c>
      <c r="N454" t="str">
        <f t="shared" si="77"/>
        <v>Centre de Santé</v>
      </c>
      <c r="O454" t="str">
        <f>"03"</f>
        <v>03</v>
      </c>
      <c r="P454" t="str">
        <f>"Commune"</f>
        <v>Commune</v>
      </c>
      <c r="Q454" t="str">
        <f t="shared" si="74"/>
        <v>36</v>
      </c>
      <c r="R454" t="str">
        <f t="shared" si="75"/>
        <v>Tarifs conventionnels assurance maladie</v>
      </c>
      <c r="U454" t="str">
        <f>"350055943"</f>
        <v>350055943</v>
      </c>
    </row>
    <row r="455" spans="1:21" x14ac:dyDescent="0.3">
      <c r="A455" t="str">
        <f>"770026037"</f>
        <v>770026037</v>
      </c>
      <c r="B455" t="str">
        <f>"904 862 299 00016"</f>
        <v>904 862 299 00016</v>
      </c>
      <c r="D455" t="str">
        <f>"CDS SAVIGNY LE TEMPLE"</f>
        <v>CDS SAVIGNY LE TEMPLE</v>
      </c>
      <c r="F455" t="str">
        <f>"PLACE DU 19 MARS 1962"</f>
        <v>PLACE DU 19 MARS 1962</v>
      </c>
      <c r="H455" t="str">
        <f>"77176"</f>
        <v>77176</v>
      </c>
      <c r="I455" t="str">
        <f>"SAVIGNY LE TEMPLE"</f>
        <v>SAVIGNY LE TEMPLE</v>
      </c>
      <c r="L455" s="1">
        <v>44634</v>
      </c>
      <c r="M455" t="str">
        <f t="shared" si="76"/>
        <v>124</v>
      </c>
      <c r="N455" t="str">
        <f t="shared" si="77"/>
        <v>Centre de Santé</v>
      </c>
      <c r="O455" t="str">
        <f t="shared" ref="O455:O464" si="78">"60"</f>
        <v>60</v>
      </c>
      <c r="P455" t="str">
        <f t="shared" ref="P455:P464" si="79">"Association Loi 1901 non Reconnue d'Utilité Publique"</f>
        <v>Association Loi 1901 non Reconnue d'Utilité Publique</v>
      </c>
      <c r="Q455" t="str">
        <f t="shared" si="74"/>
        <v>36</v>
      </c>
      <c r="R455" t="str">
        <f t="shared" si="75"/>
        <v>Tarifs conventionnels assurance maladie</v>
      </c>
      <c r="U455" t="str">
        <f>"770026029"</f>
        <v>770026029</v>
      </c>
    </row>
    <row r="456" spans="1:21" x14ac:dyDescent="0.3">
      <c r="A456" t="str">
        <f>"780027652"</f>
        <v>780027652</v>
      </c>
      <c r="B456" t="str">
        <f>"841 362 338 00011"</f>
        <v>841 362 338 00011</v>
      </c>
      <c r="D456" t="str">
        <f>"CDS HIPPOCRATE"</f>
        <v>CDS HIPPOCRATE</v>
      </c>
      <c r="F456" t="str">
        <f>"9 RUE JEAN JAURES"</f>
        <v>9 RUE JEAN JAURES</v>
      </c>
      <c r="H456" t="str">
        <f>"78190"</f>
        <v>78190</v>
      </c>
      <c r="I456" t="str">
        <f>"TRAPPES"</f>
        <v>TRAPPES</v>
      </c>
      <c r="L456" s="1">
        <v>44634</v>
      </c>
      <c r="M456" t="str">
        <f t="shared" si="76"/>
        <v>124</v>
      </c>
      <c r="N456" t="str">
        <f t="shared" si="77"/>
        <v>Centre de Santé</v>
      </c>
      <c r="O456" t="str">
        <f t="shared" si="78"/>
        <v>60</v>
      </c>
      <c r="P456" t="str">
        <f t="shared" si="79"/>
        <v>Association Loi 1901 non Reconnue d'Utilité Publique</v>
      </c>
      <c r="Q456" t="str">
        <f t="shared" si="74"/>
        <v>36</v>
      </c>
      <c r="R456" t="str">
        <f t="shared" si="75"/>
        <v>Tarifs conventionnels assurance maladie</v>
      </c>
      <c r="U456" t="str">
        <f>"780027629"</f>
        <v>780027629</v>
      </c>
    </row>
    <row r="457" spans="1:21" x14ac:dyDescent="0.3">
      <c r="A457" t="str">
        <f>"910025733"</f>
        <v>910025733</v>
      </c>
      <c r="B457" t="str">
        <f>"898 184 031 00018"</f>
        <v>898 184 031 00018</v>
      </c>
      <c r="D457" t="str">
        <f>"CDS DENTALVISIO"</f>
        <v>CDS DENTALVISIO</v>
      </c>
      <c r="F457" t="str">
        <f>"404 RUE DU BAC D ABLON"</f>
        <v>404 RUE DU BAC D ABLON</v>
      </c>
      <c r="G457" t="str">
        <f>"CCIAL DU VALDOLY"</f>
        <v>CCIAL DU VALDOLY</v>
      </c>
      <c r="H457" t="str">
        <f>"91230"</f>
        <v>91230</v>
      </c>
      <c r="I457" t="str">
        <f>"MONTGERON"</f>
        <v>MONTGERON</v>
      </c>
      <c r="L457" s="1">
        <v>44631</v>
      </c>
      <c r="M457" t="str">
        <f t="shared" si="76"/>
        <v>124</v>
      </c>
      <c r="N457" t="str">
        <f t="shared" si="77"/>
        <v>Centre de Santé</v>
      </c>
      <c r="O457" t="str">
        <f t="shared" si="78"/>
        <v>60</v>
      </c>
      <c r="P457" t="str">
        <f t="shared" si="79"/>
        <v>Association Loi 1901 non Reconnue d'Utilité Publique</v>
      </c>
      <c r="Q457" t="str">
        <f t="shared" si="74"/>
        <v>36</v>
      </c>
      <c r="R457" t="str">
        <f t="shared" si="75"/>
        <v>Tarifs conventionnels assurance maladie</v>
      </c>
      <c r="U457" t="str">
        <f>"910025725"</f>
        <v>910025725</v>
      </c>
    </row>
    <row r="458" spans="1:21" x14ac:dyDescent="0.3">
      <c r="A458" t="str">
        <f>"750069783"</f>
        <v>750069783</v>
      </c>
      <c r="B458" t="str">
        <f>"908 850 555 00016"</f>
        <v>908 850 555 00016</v>
      </c>
      <c r="D458" t="str">
        <f>"CDS DENTAIRE BASTILLE"</f>
        <v>CDS DENTAIRE BASTILLE</v>
      </c>
      <c r="F458" t="str">
        <f>"3 RUE SAINT ANTOINE"</f>
        <v>3 RUE SAINT ANTOINE</v>
      </c>
      <c r="H458" t="str">
        <f>"75004"</f>
        <v>75004</v>
      </c>
      <c r="I458" t="str">
        <f>"PARIS"</f>
        <v>PARIS</v>
      </c>
      <c r="J458" t="str">
        <f>"01 84 79 33 30 "</f>
        <v xml:space="preserve">01 84 79 33 30 </v>
      </c>
      <c r="L458" s="1">
        <v>44630</v>
      </c>
      <c r="M458" t="str">
        <f t="shared" si="76"/>
        <v>124</v>
      </c>
      <c r="N458" t="str">
        <f t="shared" si="77"/>
        <v>Centre de Santé</v>
      </c>
      <c r="O458" t="str">
        <f t="shared" si="78"/>
        <v>60</v>
      </c>
      <c r="P458" t="str">
        <f t="shared" si="79"/>
        <v>Association Loi 1901 non Reconnue d'Utilité Publique</v>
      </c>
      <c r="Q458" t="str">
        <f t="shared" si="74"/>
        <v>36</v>
      </c>
      <c r="R458" t="str">
        <f t="shared" si="75"/>
        <v>Tarifs conventionnels assurance maladie</v>
      </c>
      <c r="U458" t="str">
        <f>"750069775"</f>
        <v>750069775</v>
      </c>
    </row>
    <row r="459" spans="1:21" x14ac:dyDescent="0.3">
      <c r="A459" t="str">
        <f>"060030616"</f>
        <v>060030616</v>
      </c>
      <c r="B459" t="str">
        <f>"899 326 284 00010"</f>
        <v>899 326 284 00010</v>
      </c>
      <c r="D459" t="str">
        <f>"CENTRE ACCES VISION"</f>
        <v>CENTRE ACCES VISION</v>
      </c>
      <c r="F459" t="str">
        <f>"27 RUE DE L'HOTEL DES POSTES"</f>
        <v>27 RUE DE L'HOTEL DES POSTES</v>
      </c>
      <c r="H459" t="str">
        <f>"06000"</f>
        <v>06000</v>
      </c>
      <c r="I459" t="str">
        <f>"NICE"</f>
        <v>NICE</v>
      </c>
      <c r="J459" t="str">
        <f>"04 84 89 49 19 "</f>
        <v xml:space="preserve">04 84 89 49 19 </v>
      </c>
      <c r="L459" s="1">
        <v>44627</v>
      </c>
      <c r="M459" t="str">
        <f t="shared" si="76"/>
        <v>124</v>
      </c>
      <c r="N459" t="str">
        <f t="shared" si="77"/>
        <v>Centre de Santé</v>
      </c>
      <c r="O459" t="str">
        <f t="shared" si="78"/>
        <v>60</v>
      </c>
      <c r="P459" t="str">
        <f t="shared" si="79"/>
        <v>Association Loi 1901 non Reconnue d'Utilité Publique</v>
      </c>
      <c r="Q459" t="str">
        <f t="shared" si="74"/>
        <v>36</v>
      </c>
      <c r="R459" t="str">
        <f t="shared" si="75"/>
        <v>Tarifs conventionnels assurance maladie</v>
      </c>
      <c r="U459" t="str">
        <f>"940028640"</f>
        <v>940028640</v>
      </c>
    </row>
    <row r="460" spans="1:21" x14ac:dyDescent="0.3">
      <c r="A460" t="str">
        <f>"750069098"</f>
        <v>750069098</v>
      </c>
      <c r="B460" t="str">
        <f>"903 454 106 00019"</f>
        <v>903 454 106 00019</v>
      </c>
      <c r="D460" t="str">
        <f>"CDS ACCESS RADIOLOGIE POISSONNIERE"</f>
        <v>CDS ACCESS RADIOLOGIE POISSONNIERE</v>
      </c>
      <c r="F460" t="str">
        <f>"20 BOULEVARD POISSONNIERE"</f>
        <v>20 BOULEVARD POISSONNIERE</v>
      </c>
      <c r="H460" t="str">
        <f>"75009"</f>
        <v>75009</v>
      </c>
      <c r="I460" t="str">
        <f>"PARIS"</f>
        <v>PARIS</v>
      </c>
      <c r="J460" t="str">
        <f>"01 89 16 95 10 "</f>
        <v xml:space="preserve">01 89 16 95 10 </v>
      </c>
      <c r="L460" s="1">
        <v>44627</v>
      </c>
      <c r="M460" t="str">
        <f t="shared" si="76"/>
        <v>124</v>
      </c>
      <c r="N460" t="str">
        <f t="shared" si="77"/>
        <v>Centre de Santé</v>
      </c>
      <c r="O460" t="str">
        <f t="shared" si="78"/>
        <v>60</v>
      </c>
      <c r="P460" t="str">
        <f t="shared" si="79"/>
        <v>Association Loi 1901 non Reconnue d'Utilité Publique</v>
      </c>
      <c r="Q460" t="str">
        <f t="shared" si="74"/>
        <v>36</v>
      </c>
      <c r="R460" t="str">
        <f t="shared" si="75"/>
        <v>Tarifs conventionnels assurance maladie</v>
      </c>
      <c r="U460" t="str">
        <f>"750069080"</f>
        <v>750069080</v>
      </c>
    </row>
    <row r="461" spans="1:21" x14ac:dyDescent="0.3">
      <c r="A461" t="str">
        <f>"130052632"</f>
        <v>130052632</v>
      </c>
      <c r="B461" t="str">
        <f>"893 686 329 00044"</f>
        <v>893 686 329 00044</v>
      </c>
      <c r="D461" t="str">
        <f>"CDS D'IMAGERIE MEDICALE DE PROXIMITE"</f>
        <v>CDS D'IMAGERIE MEDICALE DE PROXIMITE</v>
      </c>
      <c r="E461" t="str">
        <f>"ESPACE VALENTINE B"</f>
        <v>ESPACE VALENTINE B</v>
      </c>
      <c r="F461" t="str">
        <f>"MONTEE DE SAINT MENET"</f>
        <v>MONTEE DE SAINT MENET</v>
      </c>
      <c r="H461" t="str">
        <f>"13011"</f>
        <v>13011</v>
      </c>
      <c r="I461" t="str">
        <f>"MARSEILLE"</f>
        <v>MARSEILLE</v>
      </c>
      <c r="J461" t="str">
        <f>"04 91 43 31 48 "</f>
        <v xml:space="preserve">04 91 43 31 48 </v>
      </c>
      <c r="L461" s="1">
        <v>44624</v>
      </c>
      <c r="M461" t="str">
        <f t="shared" si="76"/>
        <v>124</v>
      </c>
      <c r="N461" t="str">
        <f t="shared" si="77"/>
        <v>Centre de Santé</v>
      </c>
      <c r="O461" t="str">
        <f t="shared" si="78"/>
        <v>60</v>
      </c>
      <c r="P461" t="str">
        <f t="shared" si="79"/>
        <v>Association Loi 1901 non Reconnue d'Utilité Publique</v>
      </c>
      <c r="Q461" t="str">
        <f t="shared" si="74"/>
        <v>36</v>
      </c>
      <c r="R461" t="str">
        <f t="shared" si="75"/>
        <v>Tarifs conventionnels assurance maladie</v>
      </c>
      <c r="U461" t="str">
        <f>"750067472"</f>
        <v>750067472</v>
      </c>
    </row>
    <row r="462" spans="1:21" x14ac:dyDescent="0.3">
      <c r="A462" t="str">
        <f>"630015667"</f>
        <v>630015667</v>
      </c>
      <c r="B462" t="str">
        <f>"779 222 272 00030"</f>
        <v>779 222 272 00030</v>
      </c>
      <c r="D462" t="str">
        <f>"CENTRE DE SANTE MFPF CLERMONT-FERRAND"</f>
        <v>CENTRE DE SANTE MFPF CLERMONT-FERRAND</v>
      </c>
      <c r="F462" t="str">
        <f>"13 RUE DES 4 PASSEPORTS"</f>
        <v>13 RUE DES 4 PASSEPORTS</v>
      </c>
      <c r="H462" t="str">
        <f>"63000"</f>
        <v>63000</v>
      </c>
      <c r="I462" t="str">
        <f>"CLERMONT FERRAND"</f>
        <v>CLERMONT FERRAND</v>
      </c>
      <c r="J462" t="str">
        <f>"04 73 37 12 07 "</f>
        <v xml:space="preserve">04 73 37 12 07 </v>
      </c>
      <c r="L462" s="1">
        <v>44624</v>
      </c>
      <c r="M462" t="str">
        <f t="shared" si="76"/>
        <v>124</v>
      </c>
      <c r="N462" t="str">
        <f t="shared" si="77"/>
        <v>Centre de Santé</v>
      </c>
      <c r="O462" t="str">
        <f t="shared" si="78"/>
        <v>60</v>
      </c>
      <c r="P462" t="str">
        <f t="shared" si="79"/>
        <v>Association Loi 1901 non Reconnue d'Utilité Publique</v>
      </c>
      <c r="Q462" t="str">
        <f t="shared" si="74"/>
        <v>36</v>
      </c>
      <c r="R462" t="str">
        <f t="shared" si="75"/>
        <v>Tarifs conventionnels assurance maladie</v>
      </c>
      <c r="U462" t="str">
        <f>"630000982"</f>
        <v>630000982</v>
      </c>
    </row>
    <row r="463" spans="1:21" x14ac:dyDescent="0.3">
      <c r="A463" t="str">
        <f>"970215067"</f>
        <v>970215067</v>
      </c>
      <c r="D463" t="str">
        <f>"CENTRE DE SANTE DENTAIRE MADININA SMIL"</f>
        <v>CENTRE DE SANTE DENTAIRE MADININA SMIL</v>
      </c>
      <c r="E463" t="str">
        <f>"MADININA SMILE"</f>
        <v>MADININA SMILE</v>
      </c>
      <c r="F463" t="str">
        <f>"RUE CASE NEGRE"</f>
        <v>RUE CASE NEGRE</v>
      </c>
      <c r="H463" t="str">
        <f>"97232"</f>
        <v>97232</v>
      </c>
      <c r="I463" t="str">
        <f>"LE LAMENTIN"</f>
        <v>LE LAMENTIN</v>
      </c>
      <c r="L463" s="1">
        <v>44624</v>
      </c>
      <c r="M463" t="str">
        <f t="shared" si="76"/>
        <v>124</v>
      </c>
      <c r="N463" t="str">
        <f t="shared" si="77"/>
        <v>Centre de Santé</v>
      </c>
      <c r="O463" t="str">
        <f t="shared" si="78"/>
        <v>60</v>
      </c>
      <c r="P463" t="str">
        <f t="shared" si="79"/>
        <v>Association Loi 1901 non Reconnue d'Utilité Publique</v>
      </c>
      <c r="Q463" t="str">
        <f t="shared" si="74"/>
        <v>36</v>
      </c>
      <c r="R463" t="str">
        <f t="shared" si="75"/>
        <v>Tarifs conventionnels assurance maladie</v>
      </c>
      <c r="U463" t="str">
        <f>"970215059"</f>
        <v>970215059</v>
      </c>
    </row>
    <row r="464" spans="1:21" x14ac:dyDescent="0.3">
      <c r="A464" t="str">
        <f>"690051271"</f>
        <v>690051271</v>
      </c>
      <c r="B464" t="str">
        <f>"881 421 440 00036"</f>
        <v>881 421 440 00036</v>
      </c>
      <c r="D464" t="str">
        <f>"CENTRE DE SANTE MEDIKARE VILLEFRANCHE"</f>
        <v>CENTRE DE SANTE MEDIKARE VILLEFRANCHE</v>
      </c>
      <c r="E464" t="str">
        <f>"CENTRE GEANT CASINO"</f>
        <v>CENTRE GEANT CASINO</v>
      </c>
      <c r="F464" t="str">
        <f>"BOULEVARD BURDEAU"</f>
        <v>BOULEVARD BURDEAU</v>
      </c>
      <c r="G464" t="str">
        <f>"ZAC DU GARET"</f>
        <v>ZAC DU GARET</v>
      </c>
      <c r="H464" t="str">
        <f>"69400"</f>
        <v>69400</v>
      </c>
      <c r="I464" t="str">
        <f>"VILLEFRANCHE SUR SAONE"</f>
        <v>VILLEFRANCHE SUR SAONE</v>
      </c>
      <c r="J464" t="str">
        <f>"07 69 83 81 54 "</f>
        <v xml:space="preserve">07 69 83 81 54 </v>
      </c>
      <c r="L464" s="1">
        <v>44623</v>
      </c>
      <c r="M464" t="str">
        <f t="shared" si="76"/>
        <v>124</v>
      </c>
      <c r="N464" t="str">
        <f t="shared" si="77"/>
        <v>Centre de Santé</v>
      </c>
      <c r="O464" t="str">
        <f t="shared" si="78"/>
        <v>60</v>
      </c>
      <c r="P464" t="str">
        <f t="shared" si="79"/>
        <v>Association Loi 1901 non Reconnue d'Utilité Publique</v>
      </c>
      <c r="Q464" t="str">
        <f t="shared" si="74"/>
        <v>36</v>
      </c>
      <c r="R464" t="str">
        <f t="shared" si="75"/>
        <v>Tarifs conventionnels assurance maladie</v>
      </c>
      <c r="U464" t="str">
        <f>"690048590"</f>
        <v>690048590</v>
      </c>
    </row>
    <row r="465" spans="1:21" x14ac:dyDescent="0.3">
      <c r="A465" t="str">
        <f>"630015659"</f>
        <v>630015659</v>
      </c>
      <c r="D465" t="str">
        <f>"CENTRE DE SANTE DEPARTEMENTAL THIERS"</f>
        <v>CENTRE DE SANTE DEPARTEMENTAL THIERS</v>
      </c>
      <c r="F465" t="str">
        <f>"22 RUE FRANCOIS MITTERRAND"</f>
        <v>22 RUE FRANCOIS MITTERRAND</v>
      </c>
      <c r="H465" t="str">
        <f>"63300"</f>
        <v>63300</v>
      </c>
      <c r="I465" t="str">
        <f>"THIERS"</f>
        <v>THIERS</v>
      </c>
      <c r="J465" t="str">
        <f>"04 28 00 63 63 "</f>
        <v xml:space="preserve">04 28 00 63 63 </v>
      </c>
      <c r="L465" s="1">
        <v>44622</v>
      </c>
      <c r="M465" t="str">
        <f t="shared" si="76"/>
        <v>124</v>
      </c>
      <c r="N465" t="str">
        <f t="shared" si="77"/>
        <v>Centre de Santé</v>
      </c>
      <c r="O465" t="str">
        <f>"02"</f>
        <v>02</v>
      </c>
      <c r="P465" t="str">
        <f>"Département"</f>
        <v>Département</v>
      </c>
      <c r="Q465" t="str">
        <f t="shared" si="74"/>
        <v>36</v>
      </c>
      <c r="R465" t="str">
        <f t="shared" si="75"/>
        <v>Tarifs conventionnels assurance maladie</v>
      </c>
      <c r="U465" t="str">
        <f>"630788040"</f>
        <v>630788040</v>
      </c>
    </row>
    <row r="466" spans="1:21" x14ac:dyDescent="0.3">
      <c r="A466" t="str">
        <f>"060030624"</f>
        <v>060030624</v>
      </c>
      <c r="B466" t="str">
        <f>"349 496 174 02258"</f>
        <v>349 496 174 02258</v>
      </c>
      <c r="D466" t="str">
        <f>"SPOT MARCHALL"</f>
        <v>SPOT MARCHALL</v>
      </c>
      <c r="F466" t="str">
        <f>"29 RUE DELILLE"</f>
        <v>29 RUE DELILLE</v>
      </c>
      <c r="H466" t="str">
        <f>"06000"</f>
        <v>06000</v>
      </c>
      <c r="I466" t="str">
        <f>"NICE"</f>
        <v>NICE</v>
      </c>
      <c r="J466" t="str">
        <f>"04 93 55 90 35 "</f>
        <v xml:space="preserve">04 93 55 90 35 </v>
      </c>
      <c r="L466" s="1">
        <v>44621</v>
      </c>
      <c r="M466" t="str">
        <f t="shared" si="76"/>
        <v>124</v>
      </c>
      <c r="N466" t="str">
        <f t="shared" si="77"/>
        <v>Centre de Santé</v>
      </c>
      <c r="O466" t="str">
        <f>"61"</f>
        <v>61</v>
      </c>
      <c r="P466" t="str">
        <f>"Association Loi 1901 Reconnue d'Utilité Publique"</f>
        <v>Association Loi 1901 Reconnue d'Utilité Publique</v>
      </c>
      <c r="Q466" t="str">
        <f t="shared" si="74"/>
        <v>36</v>
      </c>
      <c r="R466" t="str">
        <f t="shared" si="75"/>
        <v>Tarifs conventionnels assurance maladie</v>
      </c>
      <c r="U466" t="str">
        <f>"930013768"</f>
        <v>930013768</v>
      </c>
    </row>
    <row r="467" spans="1:21" x14ac:dyDescent="0.3">
      <c r="A467" t="str">
        <f>"100011774"</f>
        <v>100011774</v>
      </c>
      <c r="B467" t="str">
        <f>"903 679 876 00016"</f>
        <v>903 679 876 00016</v>
      </c>
      <c r="D467" t="str">
        <f>"CENTRE OPHTALMOLOGIQUE DENTAIRE TROYES"</f>
        <v>CENTRE OPHTALMOLOGIQUE DENTAIRE TROYES</v>
      </c>
      <c r="F467" t="str">
        <f>"7 RUE TURENNE"</f>
        <v>7 RUE TURENNE</v>
      </c>
      <c r="H467" t="str">
        <f>"10000"</f>
        <v>10000</v>
      </c>
      <c r="I467" t="str">
        <f>"TROYES"</f>
        <v>TROYES</v>
      </c>
      <c r="J467" t="str">
        <f>"03 26 87 58 78 "</f>
        <v xml:space="preserve">03 26 87 58 78 </v>
      </c>
      <c r="L467" s="1">
        <v>44621</v>
      </c>
      <c r="M467" t="str">
        <f t="shared" si="76"/>
        <v>124</v>
      </c>
      <c r="N467" t="str">
        <f t="shared" si="77"/>
        <v>Centre de Santé</v>
      </c>
      <c r="O467" t="str">
        <f>"60"</f>
        <v>60</v>
      </c>
      <c r="P467" t="str">
        <f>"Association Loi 1901 non Reconnue d'Utilité Publique"</f>
        <v>Association Loi 1901 non Reconnue d'Utilité Publique</v>
      </c>
      <c r="Q467" t="str">
        <f t="shared" si="74"/>
        <v>36</v>
      </c>
      <c r="R467" t="str">
        <f t="shared" si="75"/>
        <v>Tarifs conventionnels assurance maladie</v>
      </c>
      <c r="U467" t="str">
        <f>"100011766"</f>
        <v>100011766</v>
      </c>
    </row>
    <row r="468" spans="1:21" x14ac:dyDescent="0.3">
      <c r="A468" t="str">
        <f>"190013706"</f>
        <v>190013706</v>
      </c>
      <c r="B468" t="str">
        <f>"900 568 668 00017"</f>
        <v>900 568 668 00017</v>
      </c>
      <c r="D468" t="str">
        <f>"CENTRE DE SANTE ASCLEPIADE"</f>
        <v>CENTRE DE SANTE ASCLEPIADE</v>
      </c>
      <c r="F468" t="str">
        <f>"7 RUE MOISSAN"</f>
        <v>7 RUE MOISSAN</v>
      </c>
      <c r="H468" t="str">
        <f>"19100"</f>
        <v>19100</v>
      </c>
      <c r="I468" t="str">
        <f>"BRIVE LA GAILLARDE"</f>
        <v>BRIVE LA GAILLARDE</v>
      </c>
      <c r="J468" t="str">
        <f>"06 41 25 59 09 "</f>
        <v xml:space="preserve">06 41 25 59 09 </v>
      </c>
      <c r="L468" s="1">
        <v>44621</v>
      </c>
      <c r="M468" t="str">
        <f t="shared" si="76"/>
        <v>124</v>
      </c>
      <c r="N468" t="str">
        <f t="shared" si="77"/>
        <v>Centre de Santé</v>
      </c>
      <c r="O468" t="str">
        <f>"60"</f>
        <v>60</v>
      </c>
      <c r="P468" t="str">
        <f>"Association Loi 1901 non Reconnue d'Utilité Publique"</f>
        <v>Association Loi 1901 non Reconnue d'Utilité Publique</v>
      </c>
      <c r="Q468" t="str">
        <f t="shared" si="74"/>
        <v>36</v>
      </c>
      <c r="R468" t="str">
        <f t="shared" si="75"/>
        <v>Tarifs conventionnels assurance maladie</v>
      </c>
      <c r="U468" t="str">
        <f>"460007610"</f>
        <v>460007610</v>
      </c>
    </row>
    <row r="469" spans="1:21" x14ac:dyDescent="0.3">
      <c r="A469" t="str">
        <f>"220022511"</f>
        <v>220022511</v>
      </c>
      <c r="D469" t="str">
        <f>"CDS UNIVERSITAIRE ST BRIEUC"</f>
        <v>CDS UNIVERSITAIRE ST BRIEUC</v>
      </c>
      <c r="E469" t="str">
        <f>"CAMPUS DE MAZIER"</f>
        <v>CAMPUS DE MAZIER</v>
      </c>
      <c r="F469" t="str">
        <f>"2 AVENUE ANTOINE MAZIER"</f>
        <v>2 AVENUE ANTOINE MAZIER</v>
      </c>
      <c r="H469" t="str">
        <f>"22000"</f>
        <v>22000</v>
      </c>
      <c r="I469" t="str">
        <f>"ST BRIEUC"</f>
        <v>ST BRIEUC</v>
      </c>
      <c r="J469" t="str">
        <f>"02 96 60 81 61 "</f>
        <v xml:space="preserve">02 96 60 81 61 </v>
      </c>
      <c r="L469" s="1">
        <v>44621</v>
      </c>
      <c r="M469" t="str">
        <f t="shared" si="76"/>
        <v>124</v>
      </c>
      <c r="N469" t="str">
        <f t="shared" si="77"/>
        <v>Centre de Santé</v>
      </c>
      <c r="O469" t="str">
        <f>"26"</f>
        <v>26</v>
      </c>
      <c r="P469" t="str">
        <f>"Autre Etablissement Public à Caractère Administratif"</f>
        <v>Autre Etablissement Public à Caractère Administratif</v>
      </c>
      <c r="Q469" t="str">
        <f t="shared" si="74"/>
        <v>36</v>
      </c>
      <c r="R469" t="str">
        <f t="shared" si="75"/>
        <v>Tarifs conventionnels assurance maladie</v>
      </c>
      <c r="U469" t="str">
        <f>"350047007"</f>
        <v>350047007</v>
      </c>
    </row>
    <row r="470" spans="1:21" x14ac:dyDescent="0.3">
      <c r="A470" t="str">
        <f>"260022413"</f>
        <v>260022413</v>
      </c>
      <c r="B470" t="str">
        <f>"904 320 777 00017"</f>
        <v>904 320 777 00017</v>
      </c>
      <c r="D470" t="str">
        <f>"CENTRE DE SANTE DENTAIRE FAVENTINES"</f>
        <v>CENTRE DE SANTE DENTAIRE FAVENTINES</v>
      </c>
      <c r="F470" t="str">
        <f>"23 RUE FAVENTINES"</f>
        <v>23 RUE FAVENTINES</v>
      </c>
      <c r="H470" t="str">
        <f>"26000"</f>
        <v>26000</v>
      </c>
      <c r="I470" t="str">
        <f>"VALENCE"</f>
        <v>VALENCE</v>
      </c>
      <c r="L470" s="1">
        <v>44621</v>
      </c>
      <c r="M470" t="str">
        <f t="shared" si="76"/>
        <v>124</v>
      </c>
      <c r="N470" t="str">
        <f t="shared" si="77"/>
        <v>Centre de Santé</v>
      </c>
      <c r="O470" t="str">
        <f>"60"</f>
        <v>60</v>
      </c>
      <c r="P470" t="str">
        <f>"Association Loi 1901 non Reconnue d'Utilité Publique"</f>
        <v>Association Loi 1901 non Reconnue d'Utilité Publique</v>
      </c>
      <c r="Q470" t="str">
        <f t="shared" si="74"/>
        <v>36</v>
      </c>
      <c r="R470" t="str">
        <f t="shared" si="75"/>
        <v>Tarifs conventionnels assurance maladie</v>
      </c>
      <c r="U470" t="str">
        <f>"260022405"</f>
        <v>260022405</v>
      </c>
    </row>
    <row r="471" spans="1:21" x14ac:dyDescent="0.3">
      <c r="A471" t="str">
        <f>"750069452"</f>
        <v>750069452</v>
      </c>
      <c r="B471" t="str">
        <f>"898 462 981 00017"</f>
        <v>898 462 981 00017</v>
      </c>
      <c r="D471" t="str">
        <f>"CDS SMILIGN"</f>
        <v>CDS SMILIGN</v>
      </c>
      <c r="F471" t="str">
        <f>"25 RUE DE CRIMEE"</f>
        <v>25 RUE DE CRIMEE</v>
      </c>
      <c r="H471" t="str">
        <f>"75019"</f>
        <v>75019</v>
      </c>
      <c r="I471" t="str">
        <f>"PARIS"</f>
        <v>PARIS</v>
      </c>
      <c r="J471" t="str">
        <f>"01 84 60 98 98 "</f>
        <v xml:space="preserve">01 84 60 98 98 </v>
      </c>
      <c r="L471" s="1">
        <v>44621</v>
      </c>
      <c r="M471" t="str">
        <f t="shared" si="76"/>
        <v>124</v>
      </c>
      <c r="N471" t="str">
        <f t="shared" si="77"/>
        <v>Centre de Santé</v>
      </c>
      <c r="O471" t="str">
        <f>"60"</f>
        <v>60</v>
      </c>
      <c r="P471" t="str">
        <f>"Association Loi 1901 non Reconnue d'Utilité Publique"</f>
        <v>Association Loi 1901 non Reconnue d'Utilité Publique</v>
      </c>
      <c r="Q471" t="str">
        <f t="shared" si="74"/>
        <v>36</v>
      </c>
      <c r="R471" t="str">
        <f t="shared" si="75"/>
        <v>Tarifs conventionnels assurance maladie</v>
      </c>
      <c r="U471" t="str">
        <f>"750069445"</f>
        <v>750069445</v>
      </c>
    </row>
    <row r="472" spans="1:21" x14ac:dyDescent="0.3">
      <c r="A472" t="str">
        <f>"920038296"</f>
        <v>920038296</v>
      </c>
      <c r="B472" t="str">
        <f>"903 593 507 00010"</f>
        <v>903 593 507 00010</v>
      </c>
      <c r="D472" t="str">
        <f>"CDS SMILEFORLIFE"</f>
        <v>CDS SMILEFORLIFE</v>
      </c>
      <c r="F472" t="str">
        <f>"11 AVENUE DU MARECHAL LATTRE TASSIGNY"</f>
        <v>11 AVENUE DU MARECHAL LATTRE TASSIGNY</v>
      </c>
      <c r="H472" t="str">
        <f>"92190"</f>
        <v>92190</v>
      </c>
      <c r="I472" t="str">
        <f>"MEUDON"</f>
        <v>MEUDON</v>
      </c>
      <c r="L472" s="1">
        <v>44621</v>
      </c>
      <c r="M472" t="str">
        <f t="shared" si="76"/>
        <v>124</v>
      </c>
      <c r="N472" t="str">
        <f t="shared" si="77"/>
        <v>Centre de Santé</v>
      </c>
      <c r="O472" t="str">
        <f>"60"</f>
        <v>60</v>
      </c>
      <c r="P472" t="str">
        <f>"Association Loi 1901 non Reconnue d'Utilité Publique"</f>
        <v>Association Loi 1901 non Reconnue d'Utilité Publique</v>
      </c>
      <c r="Q472" t="str">
        <f t="shared" si="74"/>
        <v>36</v>
      </c>
      <c r="R472" t="str">
        <f t="shared" si="75"/>
        <v>Tarifs conventionnels assurance maladie</v>
      </c>
      <c r="U472" t="str">
        <f>"930031455"</f>
        <v>930031455</v>
      </c>
    </row>
    <row r="473" spans="1:21" x14ac:dyDescent="0.3">
      <c r="A473" t="str">
        <f>"920038502"</f>
        <v>920038502</v>
      </c>
      <c r="B473" t="str">
        <f>"898 529 243 00021"</f>
        <v>898 529 243 00021</v>
      </c>
      <c r="D473" t="str">
        <f>"CDS OPHTALMO LA GARENNE COLOMBES"</f>
        <v>CDS OPHTALMO LA GARENNE COLOMBES</v>
      </c>
      <c r="F473" t="str">
        <f>"46 AVENUE DU GENERAL DE GAULLE"</f>
        <v>46 AVENUE DU GENERAL DE GAULLE</v>
      </c>
      <c r="H473" t="str">
        <f>"92250"</f>
        <v>92250</v>
      </c>
      <c r="I473" t="str">
        <f>"LA GARENNE COLOMBES"</f>
        <v>LA GARENNE COLOMBES</v>
      </c>
      <c r="J473" t="str">
        <f>"06 13 25 01 42 "</f>
        <v xml:space="preserve">06 13 25 01 42 </v>
      </c>
      <c r="L473" s="1">
        <v>44621</v>
      </c>
      <c r="M473" t="str">
        <f t="shared" si="76"/>
        <v>124</v>
      </c>
      <c r="N473" t="str">
        <f t="shared" si="77"/>
        <v>Centre de Santé</v>
      </c>
      <c r="O473" t="str">
        <f>"60"</f>
        <v>60</v>
      </c>
      <c r="P473" t="str">
        <f>"Association Loi 1901 non Reconnue d'Utilité Publique"</f>
        <v>Association Loi 1901 non Reconnue d'Utilité Publique</v>
      </c>
      <c r="Q473" t="str">
        <f t="shared" si="74"/>
        <v>36</v>
      </c>
      <c r="R473" t="str">
        <f t="shared" si="75"/>
        <v>Tarifs conventionnels assurance maladie</v>
      </c>
      <c r="U473" t="str">
        <f>"920038494"</f>
        <v>920038494</v>
      </c>
    </row>
    <row r="474" spans="1:21" x14ac:dyDescent="0.3">
      <c r="A474" t="str">
        <f>"510026917"</f>
        <v>510026917</v>
      </c>
      <c r="B474" t="str">
        <f>"900 706 979 00029"</f>
        <v>900 706 979 00029</v>
      </c>
      <c r="D474" t="str">
        <f>"CENTRE ACCÈS VISION REIMS"</f>
        <v>CENTRE ACCÈS VISION REIMS</v>
      </c>
      <c r="F474" t="str">
        <f>"78 RUE DE VESLE"</f>
        <v>78 RUE DE VESLE</v>
      </c>
      <c r="H474" t="str">
        <f>"51100"</f>
        <v>51100</v>
      </c>
      <c r="I474" t="str">
        <f>"REIMS"</f>
        <v>REIMS</v>
      </c>
      <c r="J474" t="str">
        <f>"03 52 74 08 80 "</f>
        <v xml:space="preserve">03 52 74 08 80 </v>
      </c>
      <c r="L474" s="1">
        <v>44620</v>
      </c>
      <c r="M474" t="str">
        <f t="shared" si="76"/>
        <v>124</v>
      </c>
      <c r="N474" t="str">
        <f t="shared" si="77"/>
        <v>Centre de Santé</v>
      </c>
      <c r="O474" t="str">
        <f>"60"</f>
        <v>60</v>
      </c>
      <c r="P474" t="str">
        <f>"Association Loi 1901 non Reconnue d'Utilité Publique"</f>
        <v>Association Loi 1901 non Reconnue d'Utilité Publique</v>
      </c>
      <c r="Q474" t="str">
        <f t="shared" si="74"/>
        <v>36</v>
      </c>
      <c r="R474" t="str">
        <f t="shared" si="75"/>
        <v>Tarifs conventionnels assurance maladie</v>
      </c>
      <c r="U474" t="str">
        <f>"510027006"</f>
        <v>510027006</v>
      </c>
    </row>
    <row r="475" spans="1:21" x14ac:dyDescent="0.3">
      <c r="A475" t="str">
        <f>"910026129"</f>
        <v>910026129</v>
      </c>
      <c r="B475" t="str">
        <f>"219 105 335 00018"</f>
        <v>219 105 335 00018</v>
      </c>
      <c r="D475" t="str">
        <f>"CMS DE SACLAS"</f>
        <v>CMS DE SACLAS</v>
      </c>
      <c r="F475" t="str">
        <f>"4 AVENUE JEAN JAURES"</f>
        <v>4 AVENUE JEAN JAURES</v>
      </c>
      <c r="H475" t="str">
        <f>"91690"</f>
        <v>91690</v>
      </c>
      <c r="I475" t="str">
        <f>"SACLAS"</f>
        <v>SACLAS</v>
      </c>
      <c r="J475" t="str">
        <f>"01 69 58 88 00 "</f>
        <v xml:space="preserve">01 69 58 88 00 </v>
      </c>
      <c r="L475" s="1">
        <v>44620</v>
      </c>
      <c r="M475" t="str">
        <f t="shared" si="76"/>
        <v>124</v>
      </c>
      <c r="N475" t="str">
        <f t="shared" si="77"/>
        <v>Centre de Santé</v>
      </c>
      <c r="O475" t="str">
        <f>"03"</f>
        <v>03</v>
      </c>
      <c r="P475" t="str">
        <f>"Commune"</f>
        <v>Commune</v>
      </c>
      <c r="Q475" t="str">
        <f t="shared" si="74"/>
        <v>36</v>
      </c>
      <c r="R475" t="str">
        <f t="shared" si="75"/>
        <v>Tarifs conventionnels assurance maladie</v>
      </c>
      <c r="U475" t="str">
        <f>"910026111"</f>
        <v>910026111</v>
      </c>
    </row>
    <row r="476" spans="1:21" x14ac:dyDescent="0.3">
      <c r="A476" t="str">
        <f>"350055216"</f>
        <v>350055216</v>
      </c>
      <c r="B476" t="str">
        <f>"898 890 314 00013"</f>
        <v>898 890 314 00013</v>
      </c>
      <c r="D476" t="str">
        <f>"CDS SO CLINIC RENNES DES LICES"</f>
        <v>CDS SO CLINIC RENNES DES LICES</v>
      </c>
      <c r="F476" t="str">
        <f>"6 RUE DE BREST"</f>
        <v>6 RUE DE BREST</v>
      </c>
      <c r="H476" t="str">
        <f>"35000"</f>
        <v>35000</v>
      </c>
      <c r="I476" t="str">
        <f>"RENNES"</f>
        <v>RENNES</v>
      </c>
      <c r="L476" s="1">
        <v>44617</v>
      </c>
      <c r="M476" t="str">
        <f t="shared" si="76"/>
        <v>124</v>
      </c>
      <c r="N476" t="str">
        <f t="shared" si="77"/>
        <v>Centre de Santé</v>
      </c>
      <c r="O476" t="str">
        <f t="shared" ref="O476:O486" si="80">"60"</f>
        <v>60</v>
      </c>
      <c r="P476" t="str">
        <f t="shared" ref="P476:P486" si="81">"Association Loi 1901 non Reconnue d'Utilité Publique"</f>
        <v>Association Loi 1901 non Reconnue d'Utilité Publique</v>
      </c>
      <c r="Q476" t="str">
        <f t="shared" si="74"/>
        <v>36</v>
      </c>
      <c r="R476" t="str">
        <f t="shared" si="75"/>
        <v>Tarifs conventionnels assurance maladie</v>
      </c>
      <c r="U476" t="str">
        <f>"350055208"</f>
        <v>350055208</v>
      </c>
    </row>
    <row r="477" spans="1:21" x14ac:dyDescent="0.3">
      <c r="A477" t="str">
        <f>"760039628"</f>
        <v>760039628</v>
      </c>
      <c r="B477" t="str">
        <f>"901 510 297 00012"</f>
        <v>901 510 297 00012</v>
      </c>
      <c r="D477" t="str">
        <f>"CDS MEDIKSANTE ROUEN"</f>
        <v>CDS MEDIKSANTE ROUEN</v>
      </c>
      <c r="F477" t="str">
        <f>"29 RUE DU GENERAL LECLERC"</f>
        <v>29 RUE DU GENERAL LECLERC</v>
      </c>
      <c r="H477" t="str">
        <f>"76000"</f>
        <v>76000</v>
      </c>
      <c r="I477" t="str">
        <f>"ROUEN"</f>
        <v>ROUEN</v>
      </c>
      <c r="J477" t="str">
        <f>"07 52 57 50 10 "</f>
        <v xml:space="preserve">07 52 57 50 10 </v>
      </c>
      <c r="L477" s="1">
        <v>44609</v>
      </c>
      <c r="M477" t="str">
        <f t="shared" si="76"/>
        <v>124</v>
      </c>
      <c r="N477" t="str">
        <f t="shared" si="77"/>
        <v>Centre de Santé</v>
      </c>
      <c r="O477" t="str">
        <f t="shared" si="80"/>
        <v>60</v>
      </c>
      <c r="P477" t="str">
        <f t="shared" si="81"/>
        <v>Association Loi 1901 non Reconnue d'Utilité Publique</v>
      </c>
      <c r="Q477" t="str">
        <f t="shared" si="74"/>
        <v>36</v>
      </c>
      <c r="R477" t="str">
        <f t="shared" si="75"/>
        <v>Tarifs conventionnels assurance maladie</v>
      </c>
      <c r="U477" t="str">
        <f>"760039610"</f>
        <v>760039610</v>
      </c>
    </row>
    <row r="478" spans="1:21" x14ac:dyDescent="0.3">
      <c r="A478" t="str">
        <f>"370015844"</f>
        <v>370015844</v>
      </c>
      <c r="B478" t="str">
        <f>"901 760 389 00014"</f>
        <v>901 760 389 00014</v>
      </c>
      <c r="D478" t="str">
        <f>"CTRE SOINS OPHTALMOLOGIQUES TOURS - ET"</f>
        <v>CTRE SOINS OPHTALMOLOGIQUES TOURS - ET</v>
      </c>
      <c r="F478" t="str">
        <f>"60 RUE BLAISE PASCAL"</f>
        <v>60 RUE BLAISE PASCAL</v>
      </c>
      <c r="H478" t="str">
        <f>"37000"</f>
        <v>37000</v>
      </c>
      <c r="I478" t="str">
        <f>"TOURS"</f>
        <v>TOURS</v>
      </c>
      <c r="L478" s="1">
        <v>44607</v>
      </c>
      <c r="M478" t="str">
        <f t="shared" si="76"/>
        <v>124</v>
      </c>
      <c r="N478" t="str">
        <f t="shared" si="77"/>
        <v>Centre de Santé</v>
      </c>
      <c r="O478" t="str">
        <f t="shared" si="80"/>
        <v>60</v>
      </c>
      <c r="P478" t="str">
        <f t="shared" si="81"/>
        <v>Association Loi 1901 non Reconnue d'Utilité Publique</v>
      </c>
      <c r="Q478" t="str">
        <f t="shared" si="74"/>
        <v>36</v>
      </c>
      <c r="R478" t="str">
        <f t="shared" si="75"/>
        <v>Tarifs conventionnels assurance maladie</v>
      </c>
      <c r="U478" t="str">
        <f>"370015836"</f>
        <v>370015836</v>
      </c>
    </row>
    <row r="479" spans="1:21" x14ac:dyDescent="0.3">
      <c r="A479" t="str">
        <f>"750067936"</f>
        <v>750067936</v>
      </c>
      <c r="B479" t="str">
        <f>"898 080 213 00017"</f>
        <v>898 080 213 00017</v>
      </c>
      <c r="D479" t="str">
        <f>"CDS DENTAIRE PARIS SAINT LAZARE"</f>
        <v>CDS DENTAIRE PARIS SAINT LAZARE</v>
      </c>
      <c r="F479" t="str">
        <f>"94 RUE SAINT LAZARE"</f>
        <v>94 RUE SAINT LAZARE</v>
      </c>
      <c r="H479" t="str">
        <f>"75009"</f>
        <v>75009</v>
      </c>
      <c r="I479" t="str">
        <f>"PARIS"</f>
        <v>PARIS</v>
      </c>
      <c r="L479" s="1">
        <v>44607</v>
      </c>
      <c r="M479" t="str">
        <f t="shared" si="76"/>
        <v>124</v>
      </c>
      <c r="N479" t="str">
        <f t="shared" si="77"/>
        <v>Centre de Santé</v>
      </c>
      <c r="O479" t="str">
        <f t="shared" si="80"/>
        <v>60</v>
      </c>
      <c r="P479" t="str">
        <f t="shared" si="81"/>
        <v>Association Loi 1901 non Reconnue d'Utilité Publique</v>
      </c>
      <c r="Q479" t="str">
        <f t="shared" si="74"/>
        <v>36</v>
      </c>
      <c r="R479" t="str">
        <f t="shared" si="75"/>
        <v>Tarifs conventionnels assurance maladie</v>
      </c>
      <c r="U479" t="str">
        <f>"750067928"</f>
        <v>750067928</v>
      </c>
    </row>
    <row r="480" spans="1:21" x14ac:dyDescent="0.3">
      <c r="A480" t="str">
        <f>"750069072"</f>
        <v>750069072</v>
      </c>
      <c r="B480" t="str">
        <f>"902 060 102 00016"</f>
        <v>902 060 102 00016</v>
      </c>
      <c r="D480" t="str">
        <f>"CDS DENTAIRE OPHTA REPUBLIQUE MAGENTA"</f>
        <v>CDS DENTAIRE OPHTA REPUBLIQUE MAGENTA</v>
      </c>
      <c r="F480" t="str">
        <f>"18 BOULEVARD MAGENTA"</f>
        <v>18 BOULEVARD MAGENTA</v>
      </c>
      <c r="H480" t="str">
        <f>"75010"</f>
        <v>75010</v>
      </c>
      <c r="I480" t="str">
        <f>"PARIS"</f>
        <v>PARIS</v>
      </c>
      <c r="L480" s="1">
        <v>44607</v>
      </c>
      <c r="M480" t="str">
        <f t="shared" si="76"/>
        <v>124</v>
      </c>
      <c r="N480" t="str">
        <f t="shared" si="77"/>
        <v>Centre de Santé</v>
      </c>
      <c r="O480" t="str">
        <f t="shared" si="80"/>
        <v>60</v>
      </c>
      <c r="P480" t="str">
        <f t="shared" si="81"/>
        <v>Association Loi 1901 non Reconnue d'Utilité Publique</v>
      </c>
      <c r="Q480" t="str">
        <f t="shared" si="74"/>
        <v>36</v>
      </c>
      <c r="R480" t="str">
        <f t="shared" si="75"/>
        <v>Tarifs conventionnels assurance maladie</v>
      </c>
      <c r="U480" t="str">
        <f>"750069064"</f>
        <v>750069064</v>
      </c>
    </row>
    <row r="481" spans="1:21" x14ac:dyDescent="0.3">
      <c r="A481" t="str">
        <f>"910025535"</f>
        <v>910025535</v>
      </c>
      <c r="B481" t="str">
        <f>"891 029 290 00014"</f>
        <v>891 029 290 00014</v>
      </c>
      <c r="D481" t="str">
        <f>"CDS SMILE"</f>
        <v>CDS SMILE</v>
      </c>
      <c r="F481" t="str">
        <f>"22 RUE JACQUES TATI"</f>
        <v>22 RUE JACQUES TATI</v>
      </c>
      <c r="H481" t="str">
        <f>"91000"</f>
        <v>91000</v>
      </c>
      <c r="I481" t="str">
        <f>"EVRY COURCOURONNES"</f>
        <v>EVRY COURCOURONNES</v>
      </c>
      <c r="J481" t="str">
        <f>"01 60 76 09 30 "</f>
        <v xml:space="preserve">01 60 76 09 30 </v>
      </c>
      <c r="L481" s="1">
        <v>44606</v>
      </c>
      <c r="M481" t="str">
        <f t="shared" si="76"/>
        <v>124</v>
      </c>
      <c r="N481" t="str">
        <f t="shared" si="77"/>
        <v>Centre de Santé</v>
      </c>
      <c r="O481" t="str">
        <f t="shared" si="80"/>
        <v>60</v>
      </c>
      <c r="P481" t="str">
        <f t="shared" si="81"/>
        <v>Association Loi 1901 non Reconnue d'Utilité Publique</v>
      </c>
      <c r="Q481" t="str">
        <f t="shared" ref="Q481:Q544" si="82">"36"</f>
        <v>36</v>
      </c>
      <c r="R481" t="str">
        <f t="shared" ref="R481:R544" si="83">"Tarifs conventionnels assurance maladie"</f>
        <v>Tarifs conventionnels assurance maladie</v>
      </c>
      <c r="U481" t="str">
        <f>"920037074"</f>
        <v>920037074</v>
      </c>
    </row>
    <row r="482" spans="1:21" x14ac:dyDescent="0.3">
      <c r="A482" t="str">
        <f>"920038171"</f>
        <v>920038171</v>
      </c>
      <c r="B482" t="str">
        <f>"904 862 257 00014"</f>
        <v>904 862 257 00014</v>
      </c>
      <c r="D482" t="str">
        <f>"CDS DE SCEAUX"</f>
        <v>CDS DE SCEAUX</v>
      </c>
      <c r="F482" t="str">
        <f>"188 RUE HOUDAN"</f>
        <v>188 RUE HOUDAN</v>
      </c>
      <c r="H482" t="str">
        <f>"92330"</f>
        <v>92330</v>
      </c>
      <c r="I482" t="str">
        <f>"SCEAUX"</f>
        <v>SCEAUX</v>
      </c>
      <c r="L482" s="1">
        <v>44606</v>
      </c>
      <c r="M482" t="str">
        <f t="shared" si="76"/>
        <v>124</v>
      </c>
      <c r="N482" t="str">
        <f t="shared" si="77"/>
        <v>Centre de Santé</v>
      </c>
      <c r="O482" t="str">
        <f t="shared" si="80"/>
        <v>60</v>
      </c>
      <c r="P482" t="str">
        <f t="shared" si="81"/>
        <v>Association Loi 1901 non Reconnue d'Utilité Publique</v>
      </c>
      <c r="Q482" t="str">
        <f t="shared" si="82"/>
        <v>36</v>
      </c>
      <c r="R482" t="str">
        <f t="shared" si="83"/>
        <v>Tarifs conventionnels assurance maladie</v>
      </c>
      <c r="U482" t="str">
        <f>"920038163"</f>
        <v>920038163</v>
      </c>
    </row>
    <row r="483" spans="1:21" x14ac:dyDescent="0.3">
      <c r="A483" t="str">
        <f>"930031273"</f>
        <v>930031273</v>
      </c>
      <c r="B483" t="str">
        <f>"901 365 957 00017"</f>
        <v>901 365 957 00017</v>
      </c>
      <c r="D483" t="str">
        <f>"CDS MS AUBERVILLIERS"</f>
        <v>CDS MS AUBERVILLIERS</v>
      </c>
      <c r="E483" t="str">
        <f>"205-207"</f>
        <v>205-207</v>
      </c>
      <c r="F483" t="str">
        <f>"205 AVENUE DANIELLE CASANOVA"</f>
        <v>205 AVENUE DANIELLE CASANOVA</v>
      </c>
      <c r="H483" t="str">
        <f>"93300"</f>
        <v>93300</v>
      </c>
      <c r="I483" t="str">
        <f>"AUBERVILLIERS"</f>
        <v>AUBERVILLIERS</v>
      </c>
      <c r="J483" t="str">
        <f>"06 58 72 24 93 "</f>
        <v xml:space="preserve">06 58 72 24 93 </v>
      </c>
      <c r="L483" s="1">
        <v>44606</v>
      </c>
      <c r="M483" t="str">
        <f t="shared" si="76"/>
        <v>124</v>
      </c>
      <c r="N483" t="str">
        <f t="shared" si="77"/>
        <v>Centre de Santé</v>
      </c>
      <c r="O483" t="str">
        <f t="shared" si="80"/>
        <v>60</v>
      </c>
      <c r="P483" t="str">
        <f t="shared" si="81"/>
        <v>Association Loi 1901 non Reconnue d'Utilité Publique</v>
      </c>
      <c r="Q483" t="str">
        <f t="shared" si="82"/>
        <v>36</v>
      </c>
      <c r="R483" t="str">
        <f t="shared" si="83"/>
        <v>Tarifs conventionnels assurance maladie</v>
      </c>
      <c r="U483" t="str">
        <f>"930031265"</f>
        <v>930031265</v>
      </c>
    </row>
    <row r="484" spans="1:21" x14ac:dyDescent="0.3">
      <c r="A484" t="str">
        <f>"250021276"</f>
        <v>250021276</v>
      </c>
      <c r="B484" t="str">
        <f>"885 080 069 00036"</f>
        <v>885 080 069 00036</v>
      </c>
      <c r="D484" t="str">
        <f>"CDS CITY SANTE BESANÇON"</f>
        <v>CDS CITY SANTE BESANÇON</v>
      </c>
      <c r="F484" t="str">
        <f>"21 RUE DE LA REPUBLIQUE"</f>
        <v>21 RUE DE LA REPUBLIQUE</v>
      </c>
      <c r="H484" t="str">
        <f>"25000"</f>
        <v>25000</v>
      </c>
      <c r="I484" t="str">
        <f>"BESANCON"</f>
        <v>BESANCON</v>
      </c>
      <c r="J484" t="str">
        <f>"06 99 79 42 42 "</f>
        <v xml:space="preserve">06 99 79 42 42 </v>
      </c>
      <c r="L484" s="1">
        <v>44603</v>
      </c>
      <c r="M484" t="str">
        <f t="shared" si="76"/>
        <v>124</v>
      </c>
      <c r="N484" t="str">
        <f t="shared" si="77"/>
        <v>Centre de Santé</v>
      </c>
      <c r="O484" t="str">
        <f t="shared" si="80"/>
        <v>60</v>
      </c>
      <c r="P484" t="str">
        <f t="shared" si="81"/>
        <v>Association Loi 1901 non Reconnue d'Utilité Publique</v>
      </c>
      <c r="Q484" t="str">
        <f t="shared" si="82"/>
        <v>36</v>
      </c>
      <c r="R484" t="str">
        <f t="shared" si="83"/>
        <v>Tarifs conventionnels assurance maladie</v>
      </c>
      <c r="U484" t="str">
        <f>"060030681"</f>
        <v>060030681</v>
      </c>
    </row>
    <row r="485" spans="1:21" x14ac:dyDescent="0.3">
      <c r="A485" t="str">
        <f>"920038155"</f>
        <v>920038155</v>
      </c>
      <c r="B485" t="str">
        <f>"901 963 223 00010"</f>
        <v>901 963 223 00010</v>
      </c>
      <c r="D485" t="str">
        <f>"CDS MEDICO DENTAIRE GARENNE-COLOMBES"</f>
        <v>CDS MEDICO DENTAIRE GARENNE-COLOMBES</v>
      </c>
      <c r="F485" t="str">
        <f>"46 AVENUE DU GENERAL DE GAULLE"</f>
        <v>46 AVENUE DU GENERAL DE GAULLE</v>
      </c>
      <c r="H485" t="str">
        <f>"92250"</f>
        <v>92250</v>
      </c>
      <c r="I485" t="str">
        <f>"LA GARENNE COLOMBES"</f>
        <v>LA GARENNE COLOMBES</v>
      </c>
      <c r="L485" s="1">
        <v>44603</v>
      </c>
      <c r="M485" t="str">
        <f t="shared" si="76"/>
        <v>124</v>
      </c>
      <c r="N485" t="str">
        <f t="shared" si="77"/>
        <v>Centre de Santé</v>
      </c>
      <c r="O485" t="str">
        <f t="shared" si="80"/>
        <v>60</v>
      </c>
      <c r="P485" t="str">
        <f t="shared" si="81"/>
        <v>Association Loi 1901 non Reconnue d'Utilité Publique</v>
      </c>
      <c r="Q485" t="str">
        <f t="shared" si="82"/>
        <v>36</v>
      </c>
      <c r="R485" t="str">
        <f t="shared" si="83"/>
        <v>Tarifs conventionnels assurance maladie</v>
      </c>
      <c r="U485" t="str">
        <f>"750069254"</f>
        <v>750069254</v>
      </c>
    </row>
    <row r="486" spans="1:21" x14ac:dyDescent="0.3">
      <c r="A486" t="str">
        <f>"910025956"</f>
        <v>910025956</v>
      </c>
      <c r="B486" t="str">
        <f>"901 504 159 00012"</f>
        <v>901 504 159 00012</v>
      </c>
      <c r="D486" t="str">
        <f>"CDS DENTAIRE DE CORBEIL"</f>
        <v>CDS DENTAIRE DE CORBEIL</v>
      </c>
      <c r="F486" t="str">
        <f>"24 RUE DE PARIS"</f>
        <v>24 RUE DE PARIS</v>
      </c>
      <c r="H486" t="str">
        <f>"91100"</f>
        <v>91100</v>
      </c>
      <c r="I486" t="str">
        <f>"CORBEIL ESSONNES"</f>
        <v>CORBEIL ESSONNES</v>
      </c>
      <c r="J486" t="str">
        <f>"01 86 28 55 55 "</f>
        <v xml:space="preserve">01 86 28 55 55 </v>
      </c>
      <c r="L486" s="1">
        <v>44601</v>
      </c>
      <c r="M486" t="str">
        <f t="shared" si="76"/>
        <v>124</v>
      </c>
      <c r="N486" t="str">
        <f t="shared" si="77"/>
        <v>Centre de Santé</v>
      </c>
      <c r="O486" t="str">
        <f t="shared" si="80"/>
        <v>60</v>
      </c>
      <c r="P486" t="str">
        <f t="shared" si="81"/>
        <v>Association Loi 1901 non Reconnue d'Utilité Publique</v>
      </c>
      <c r="Q486" t="str">
        <f t="shared" si="82"/>
        <v>36</v>
      </c>
      <c r="R486" t="str">
        <f t="shared" si="83"/>
        <v>Tarifs conventionnels assurance maladie</v>
      </c>
      <c r="U486" t="str">
        <f>"910025949"</f>
        <v>910025949</v>
      </c>
    </row>
    <row r="487" spans="1:21" x14ac:dyDescent="0.3">
      <c r="A487" t="str">
        <f>"080011588"</f>
        <v>080011588</v>
      </c>
      <c r="B487" t="str">
        <f>"780 349 833 00688"</f>
        <v>780 349 833 00688</v>
      </c>
      <c r="D487" t="str">
        <f>"CENTRE DE SANTE DE NOUZONVILLE"</f>
        <v>CENTRE DE SANTE DE NOUZONVILLE</v>
      </c>
      <c r="F487" t="str">
        <f>"65 RUE EDOUARD VAILLANT"</f>
        <v>65 RUE EDOUARD VAILLANT</v>
      </c>
      <c r="H487" t="str">
        <f>"08700"</f>
        <v>08700</v>
      </c>
      <c r="I487" t="str">
        <f>"NOUZONVILLE"</f>
        <v>NOUZONVILLE</v>
      </c>
      <c r="J487" t="str">
        <f>"03 51 79 98 82 "</f>
        <v xml:space="preserve">03 51 79 98 82 </v>
      </c>
      <c r="L487" s="1">
        <v>44599</v>
      </c>
      <c r="M487" t="str">
        <f t="shared" si="76"/>
        <v>124</v>
      </c>
      <c r="N487" t="str">
        <f t="shared" si="77"/>
        <v>Centre de Santé</v>
      </c>
      <c r="O487" t="str">
        <f>"47"</f>
        <v>47</v>
      </c>
      <c r="P487" t="str">
        <f>"Société Mutualiste"</f>
        <v>Société Mutualiste</v>
      </c>
      <c r="Q487" t="str">
        <f t="shared" si="82"/>
        <v>36</v>
      </c>
      <c r="R487" t="str">
        <f t="shared" si="83"/>
        <v>Tarifs conventionnels assurance maladie</v>
      </c>
      <c r="U487" t="str">
        <f>"510024581"</f>
        <v>510024581</v>
      </c>
    </row>
    <row r="488" spans="1:21" x14ac:dyDescent="0.3">
      <c r="A488" t="str">
        <f>"890010614"</f>
        <v>890010614</v>
      </c>
      <c r="D488" t="str">
        <f>"CENTRE DEPARTEMENTAL DE SANTE MOBILE"</f>
        <v>CENTRE DEPARTEMENTAL DE SANTE MOBILE</v>
      </c>
      <c r="F488" t="str">
        <f>"10 ROUTE DE SAINT GEORGES"</f>
        <v>10 ROUTE DE SAINT GEORGES</v>
      </c>
      <c r="H488" t="str">
        <f>"89000"</f>
        <v>89000</v>
      </c>
      <c r="I488" t="str">
        <f>"PERRIGNY"</f>
        <v>PERRIGNY</v>
      </c>
      <c r="J488" t="str">
        <f>"03 86 72 85 34 "</f>
        <v xml:space="preserve">03 86 72 85 34 </v>
      </c>
      <c r="L488" s="1">
        <v>44599</v>
      </c>
      <c r="M488" t="str">
        <f t="shared" si="76"/>
        <v>124</v>
      </c>
      <c r="N488" t="str">
        <f t="shared" si="77"/>
        <v>Centre de Santé</v>
      </c>
      <c r="O488" t="str">
        <f>"02"</f>
        <v>02</v>
      </c>
      <c r="P488" t="str">
        <f>"Département"</f>
        <v>Département</v>
      </c>
      <c r="Q488" t="str">
        <f t="shared" si="82"/>
        <v>36</v>
      </c>
      <c r="R488" t="str">
        <f t="shared" si="83"/>
        <v>Tarifs conventionnels assurance maladie</v>
      </c>
      <c r="U488" t="str">
        <f>"890972250"</f>
        <v>890972250</v>
      </c>
    </row>
    <row r="489" spans="1:21" x14ac:dyDescent="0.3">
      <c r="A489" t="str">
        <f>"950045567"</f>
        <v>950045567</v>
      </c>
      <c r="D489" t="str">
        <f>"CDS DENTAIRE ENGHIEN LES BAINS"</f>
        <v>CDS DENTAIRE ENGHIEN LES BAINS</v>
      </c>
      <c r="F489" t="str">
        <f>"32 RUE DU DEPART"</f>
        <v>32 RUE DU DEPART</v>
      </c>
      <c r="H489" t="str">
        <f>"95880"</f>
        <v>95880</v>
      </c>
      <c r="I489" t="str">
        <f>"ENGHIEN LES BAINS"</f>
        <v>ENGHIEN LES BAINS</v>
      </c>
      <c r="L489" s="1">
        <v>44599</v>
      </c>
      <c r="M489" t="str">
        <f t="shared" si="76"/>
        <v>124</v>
      </c>
      <c r="N489" t="str">
        <f t="shared" si="77"/>
        <v>Centre de Santé</v>
      </c>
      <c r="O489" t="str">
        <f>"60"</f>
        <v>60</v>
      </c>
      <c r="P489" t="str">
        <f>"Association Loi 1901 non Reconnue d'Utilité Publique"</f>
        <v>Association Loi 1901 non Reconnue d'Utilité Publique</v>
      </c>
      <c r="Q489" t="str">
        <f t="shared" si="82"/>
        <v>36</v>
      </c>
      <c r="R489" t="str">
        <f t="shared" si="83"/>
        <v>Tarifs conventionnels assurance maladie</v>
      </c>
      <c r="U489" t="str">
        <f>"950045559"</f>
        <v>950045559</v>
      </c>
    </row>
    <row r="490" spans="1:21" x14ac:dyDescent="0.3">
      <c r="A490" t="str">
        <f>"920038288"</f>
        <v>920038288</v>
      </c>
      <c r="B490" t="str">
        <f>"904 861 085 00010"</f>
        <v>904 861 085 00010</v>
      </c>
      <c r="D490" t="str">
        <f>"CDS OPHTALMOLOGIE DE SURESNES"</f>
        <v>CDS OPHTALMOLOGIE DE SURESNES</v>
      </c>
      <c r="F490" t="str">
        <f>"83 RUE DE VERDUN"</f>
        <v>83 RUE DE VERDUN</v>
      </c>
      <c r="H490" t="str">
        <f>"92150"</f>
        <v>92150</v>
      </c>
      <c r="I490" t="str">
        <f>"SURESNES"</f>
        <v>SURESNES</v>
      </c>
      <c r="J490" t="str">
        <f>"07 64 83 19 33 "</f>
        <v xml:space="preserve">07 64 83 19 33 </v>
      </c>
      <c r="L490" s="1">
        <v>44596</v>
      </c>
      <c r="M490" t="str">
        <f t="shared" si="76"/>
        <v>124</v>
      </c>
      <c r="N490" t="str">
        <f t="shared" si="77"/>
        <v>Centre de Santé</v>
      </c>
      <c r="O490" t="str">
        <f>"60"</f>
        <v>60</v>
      </c>
      <c r="P490" t="str">
        <f>"Association Loi 1901 non Reconnue d'Utilité Publique"</f>
        <v>Association Loi 1901 non Reconnue d'Utilité Publique</v>
      </c>
      <c r="Q490" t="str">
        <f t="shared" si="82"/>
        <v>36</v>
      </c>
      <c r="R490" t="str">
        <f t="shared" si="83"/>
        <v>Tarifs conventionnels assurance maladie</v>
      </c>
      <c r="U490" t="str">
        <f>"920038270"</f>
        <v>920038270</v>
      </c>
    </row>
    <row r="491" spans="1:21" x14ac:dyDescent="0.3">
      <c r="A491" t="str">
        <f>"570029942"</f>
        <v>570029942</v>
      </c>
      <c r="B491" t="str">
        <f>"903 964 146 00018"</f>
        <v>903 964 146 00018</v>
      </c>
      <c r="D491" t="str">
        <f>"CENTRE MEDICAL ET DENTAIRE MUSE"</f>
        <v>CENTRE MEDICAL ET DENTAIRE MUSE</v>
      </c>
      <c r="E491" t="str">
        <f>"LOCAL N°12"</f>
        <v>LOCAL N°12</v>
      </c>
      <c r="F491" t="str">
        <f>"2 RUE DES MESSAGERIES"</f>
        <v>2 RUE DES MESSAGERIES</v>
      </c>
      <c r="H491" t="str">
        <f>"57000"</f>
        <v>57000</v>
      </c>
      <c r="I491" t="str">
        <f>"METZ"</f>
        <v>METZ</v>
      </c>
      <c r="J491" t="str">
        <f>"03 87 55 60 55 "</f>
        <v xml:space="preserve">03 87 55 60 55 </v>
      </c>
      <c r="L491" s="1">
        <v>44595</v>
      </c>
      <c r="M491" t="str">
        <f t="shared" si="76"/>
        <v>124</v>
      </c>
      <c r="N491" t="str">
        <f t="shared" si="77"/>
        <v>Centre de Santé</v>
      </c>
      <c r="O491" t="str">
        <f>"62"</f>
        <v>62</v>
      </c>
      <c r="P491" t="str">
        <f>"Association de Droit Local"</f>
        <v>Association de Droit Local</v>
      </c>
      <c r="Q491" t="str">
        <f t="shared" si="82"/>
        <v>36</v>
      </c>
      <c r="R491" t="str">
        <f t="shared" si="83"/>
        <v>Tarifs conventionnels assurance maladie</v>
      </c>
      <c r="U491" t="str">
        <f>"570029934"</f>
        <v>570029934</v>
      </c>
    </row>
    <row r="492" spans="1:21" x14ac:dyDescent="0.3">
      <c r="A492" t="str">
        <f>"910025899"</f>
        <v>910025899</v>
      </c>
      <c r="B492" t="str">
        <f>"895 186 344 00035"</f>
        <v>895 186 344 00035</v>
      </c>
      <c r="D492" t="str">
        <f>"CDS AQODI BLIGNY"</f>
        <v>CDS AQODI BLIGNY</v>
      </c>
      <c r="E492" t="str">
        <f>"BAT FONTENAY A 2EME ETAGE"</f>
        <v>BAT FONTENAY A 2EME ETAGE</v>
      </c>
      <c r="F492" t="str">
        <f>"RUE DE BLIGNY"</f>
        <v>RUE DE BLIGNY</v>
      </c>
      <c r="H492" t="str">
        <f>"91640"</f>
        <v>91640</v>
      </c>
      <c r="I492" t="str">
        <f>"BRIIS SOUS FORGES"</f>
        <v>BRIIS SOUS FORGES</v>
      </c>
      <c r="J492" t="str">
        <f>"01 88 24 77 00 "</f>
        <v xml:space="preserve">01 88 24 77 00 </v>
      </c>
      <c r="L492" s="1">
        <v>44594</v>
      </c>
      <c r="M492" t="str">
        <f t="shared" si="76"/>
        <v>124</v>
      </c>
      <c r="N492" t="str">
        <f t="shared" si="77"/>
        <v>Centre de Santé</v>
      </c>
      <c r="O492" t="str">
        <f>"60"</f>
        <v>60</v>
      </c>
      <c r="P492" t="str">
        <f>"Association Loi 1901 non Reconnue d'Utilité Publique"</f>
        <v>Association Loi 1901 non Reconnue d'Utilité Publique</v>
      </c>
      <c r="Q492" t="str">
        <f t="shared" si="82"/>
        <v>36</v>
      </c>
      <c r="R492" t="str">
        <f t="shared" si="83"/>
        <v>Tarifs conventionnels assurance maladie</v>
      </c>
      <c r="U492" t="str">
        <f>"750067324"</f>
        <v>750067324</v>
      </c>
    </row>
    <row r="493" spans="1:21" x14ac:dyDescent="0.3">
      <c r="A493" t="str">
        <f>"370015968"</f>
        <v>370015968</v>
      </c>
      <c r="B493" t="str">
        <f>"130 026 792 00080"</f>
        <v>130 026 792 00080</v>
      </c>
      <c r="D493" t="str">
        <f>"CENTRE DE SANTÉ LA RABATERIE"</f>
        <v>CENTRE DE SANTÉ LA RABATERIE</v>
      </c>
      <c r="F493" t="str">
        <f>"7 IMPASSE PAUL LOUIS COURIER"</f>
        <v>7 IMPASSE PAUL LOUIS COURIER</v>
      </c>
      <c r="H493" t="str">
        <f>"37700"</f>
        <v>37700</v>
      </c>
      <c r="I493" t="str">
        <f>"ST PIERRE DES CORPS"</f>
        <v>ST PIERRE DES CORPS</v>
      </c>
      <c r="L493" s="1">
        <v>44593</v>
      </c>
      <c r="M493" t="str">
        <f t="shared" si="76"/>
        <v>124</v>
      </c>
      <c r="N493" t="str">
        <f t="shared" si="77"/>
        <v>Centre de Santé</v>
      </c>
      <c r="O493" t="str">
        <f>"28"</f>
        <v>28</v>
      </c>
      <c r="P493" t="str">
        <f>"Groupement d'Intérêt Public (G.I.P.)"</f>
        <v>Groupement d'Intérêt Public (G.I.P.)</v>
      </c>
      <c r="Q493" t="str">
        <f t="shared" si="82"/>
        <v>36</v>
      </c>
      <c r="R493" t="str">
        <f t="shared" si="83"/>
        <v>Tarifs conventionnels assurance maladie</v>
      </c>
      <c r="U493" t="str">
        <f>"450022801"</f>
        <v>450022801</v>
      </c>
    </row>
    <row r="494" spans="1:21" x14ac:dyDescent="0.3">
      <c r="A494" t="str">
        <f>"600016125"</f>
        <v>600016125</v>
      </c>
      <c r="B494" t="str">
        <f>"910 735 448 00011"</f>
        <v>910 735 448 00011</v>
      </c>
      <c r="D494" t="str">
        <f>"CSP-ADMR DU PAYS DES SOURCES"</f>
        <v>CSP-ADMR DU PAYS DES SOURCES</v>
      </c>
      <c r="F494" t="str">
        <f>"60 RUE DES FLANDRES"</f>
        <v>60 RUE DES FLANDRES</v>
      </c>
      <c r="H494" t="str">
        <f>"60490"</f>
        <v>60490</v>
      </c>
      <c r="I494" t="str">
        <f>"CONCHY LES POTS"</f>
        <v>CONCHY LES POTS</v>
      </c>
      <c r="L494" s="1">
        <v>44593</v>
      </c>
      <c r="M494" t="str">
        <f t="shared" si="76"/>
        <v>124</v>
      </c>
      <c r="N494" t="str">
        <f t="shared" si="77"/>
        <v>Centre de Santé</v>
      </c>
      <c r="O494" t="str">
        <f>"61"</f>
        <v>61</v>
      </c>
      <c r="P494" t="str">
        <f>"Association Loi 1901 Reconnue d'Utilité Publique"</f>
        <v>Association Loi 1901 Reconnue d'Utilité Publique</v>
      </c>
      <c r="Q494" t="str">
        <f t="shared" si="82"/>
        <v>36</v>
      </c>
      <c r="R494" t="str">
        <f t="shared" si="83"/>
        <v>Tarifs conventionnels assurance maladie</v>
      </c>
      <c r="U494" t="str">
        <f>"600016240"</f>
        <v>600016240</v>
      </c>
    </row>
    <row r="495" spans="1:21" x14ac:dyDescent="0.3">
      <c r="A495" t="str">
        <f>"920037256"</f>
        <v>920037256</v>
      </c>
      <c r="B495" t="str">
        <f>"844 640 722 00022"</f>
        <v>844 640 722 00022</v>
      </c>
      <c r="D495" t="str">
        <f>"CDS G SMILE"</f>
        <v>CDS G SMILE</v>
      </c>
      <c r="F495" t="str">
        <f>"24 RUE FOUCHER LAPELLETIER"</f>
        <v>24 RUE FOUCHER LAPELLETIER</v>
      </c>
      <c r="H495" t="str">
        <f>"92130"</f>
        <v>92130</v>
      </c>
      <c r="I495" t="str">
        <f>"ISSY LES MOULINEAUX"</f>
        <v>ISSY LES MOULINEAUX</v>
      </c>
      <c r="J495" t="str">
        <f>"01 84 76 05 95 "</f>
        <v xml:space="preserve">01 84 76 05 95 </v>
      </c>
      <c r="L495" s="1">
        <v>44593</v>
      </c>
      <c r="M495" t="str">
        <f t="shared" si="76"/>
        <v>124</v>
      </c>
      <c r="N495" t="str">
        <f t="shared" si="77"/>
        <v>Centre de Santé</v>
      </c>
      <c r="O495" t="str">
        <f>"60"</f>
        <v>60</v>
      </c>
      <c r="P495" t="str">
        <f>"Association Loi 1901 non Reconnue d'Utilité Publique"</f>
        <v>Association Loi 1901 non Reconnue d'Utilité Publique</v>
      </c>
      <c r="Q495" t="str">
        <f t="shared" si="82"/>
        <v>36</v>
      </c>
      <c r="R495" t="str">
        <f t="shared" si="83"/>
        <v>Tarifs conventionnels assurance maladie</v>
      </c>
      <c r="U495" t="str">
        <f>"780028254"</f>
        <v>780028254</v>
      </c>
    </row>
    <row r="496" spans="1:21" x14ac:dyDescent="0.3">
      <c r="A496" t="str">
        <f>"930030176"</f>
        <v>930030176</v>
      </c>
      <c r="B496" t="str">
        <f>"888 726 718 00016"</f>
        <v>888 726 718 00016</v>
      </c>
      <c r="D496" t="str">
        <f>"CDS LE RAINCY"</f>
        <v>CDS LE RAINCY</v>
      </c>
      <c r="F496" t="str">
        <f>"122 AVENUE DE LA RESISTANCE"</f>
        <v>122 AVENUE DE LA RESISTANCE</v>
      </c>
      <c r="H496" t="str">
        <f>"93340"</f>
        <v>93340</v>
      </c>
      <c r="I496" t="str">
        <f>"LE RAINCY"</f>
        <v>LE RAINCY</v>
      </c>
      <c r="J496" t="str">
        <f>"01 84 81 55 55 "</f>
        <v xml:space="preserve">01 84 81 55 55 </v>
      </c>
      <c r="L496" s="1">
        <v>44593</v>
      </c>
      <c r="M496" t="str">
        <f t="shared" si="76"/>
        <v>124</v>
      </c>
      <c r="N496" t="str">
        <f t="shared" si="77"/>
        <v>Centre de Santé</v>
      </c>
      <c r="O496" t="str">
        <f>"60"</f>
        <v>60</v>
      </c>
      <c r="P496" t="str">
        <f>"Association Loi 1901 non Reconnue d'Utilité Publique"</f>
        <v>Association Loi 1901 non Reconnue d'Utilité Publique</v>
      </c>
      <c r="Q496" t="str">
        <f t="shared" si="82"/>
        <v>36</v>
      </c>
      <c r="R496" t="str">
        <f t="shared" si="83"/>
        <v>Tarifs conventionnels assurance maladie</v>
      </c>
      <c r="U496" t="str">
        <f>"930030168"</f>
        <v>930030168</v>
      </c>
    </row>
    <row r="497" spans="1:21" x14ac:dyDescent="0.3">
      <c r="A497" t="str">
        <f>"130052087"</f>
        <v>130052087</v>
      </c>
      <c r="B497" t="str">
        <f>"891 399 453 00010"</f>
        <v>891 399 453 00010</v>
      </c>
      <c r="D497" t="str">
        <f>"CDS OPHTALMO MARSEILLE REPUBLIQUE"</f>
        <v>CDS OPHTALMO MARSEILLE REPUBLIQUE</v>
      </c>
      <c r="F497" t="str">
        <f>"72 RUE DE LA REPUBLIQUE"</f>
        <v>72 RUE DE LA REPUBLIQUE</v>
      </c>
      <c r="H497" t="str">
        <f>"13002"</f>
        <v>13002</v>
      </c>
      <c r="I497" t="str">
        <f>"MARSEILLE"</f>
        <v>MARSEILLE</v>
      </c>
      <c r="J497" t="str">
        <f>"06 99 02 13 71 "</f>
        <v xml:space="preserve">06 99 02 13 71 </v>
      </c>
      <c r="L497" s="1">
        <v>44588</v>
      </c>
      <c r="M497" t="str">
        <f t="shared" si="76"/>
        <v>124</v>
      </c>
      <c r="N497" t="str">
        <f t="shared" si="77"/>
        <v>Centre de Santé</v>
      </c>
      <c r="O497" t="str">
        <f>"61"</f>
        <v>61</v>
      </c>
      <c r="P497" t="str">
        <f>"Association Loi 1901 Reconnue d'Utilité Publique"</f>
        <v>Association Loi 1901 Reconnue d'Utilité Publique</v>
      </c>
      <c r="Q497" t="str">
        <f t="shared" si="82"/>
        <v>36</v>
      </c>
      <c r="R497" t="str">
        <f t="shared" si="83"/>
        <v>Tarifs conventionnels assurance maladie</v>
      </c>
      <c r="U497" t="str">
        <f>"130052079"</f>
        <v>130052079</v>
      </c>
    </row>
    <row r="498" spans="1:21" x14ac:dyDescent="0.3">
      <c r="A498" t="str">
        <f>"690050794"</f>
        <v>690050794</v>
      </c>
      <c r="B498" t="str">
        <f>"844 106 088 00025"</f>
        <v>844 106 088 00025</v>
      </c>
      <c r="D498" t="str">
        <f>"CENTRE DE SANTE DENTAIRE APSFD"</f>
        <v>CENTRE DE SANTE DENTAIRE APSFD</v>
      </c>
      <c r="F498" t="str">
        <f>"30 RUE EDOUARD NIEUPORT"</f>
        <v>30 RUE EDOUARD NIEUPORT</v>
      </c>
      <c r="H498" t="str">
        <f>"69008"</f>
        <v>69008</v>
      </c>
      <c r="I498" t="str">
        <f>"LYON"</f>
        <v>LYON</v>
      </c>
      <c r="L498" s="1">
        <v>44585</v>
      </c>
      <c r="M498" t="str">
        <f t="shared" si="76"/>
        <v>124</v>
      </c>
      <c r="N498" t="str">
        <f t="shared" si="77"/>
        <v>Centre de Santé</v>
      </c>
      <c r="O498" t="str">
        <f>"60"</f>
        <v>60</v>
      </c>
      <c r="P498" t="str">
        <f>"Association Loi 1901 non Reconnue d'Utilité Publique"</f>
        <v>Association Loi 1901 non Reconnue d'Utilité Publique</v>
      </c>
      <c r="Q498" t="str">
        <f t="shared" si="82"/>
        <v>36</v>
      </c>
      <c r="R498" t="str">
        <f t="shared" si="83"/>
        <v>Tarifs conventionnels assurance maladie</v>
      </c>
      <c r="U498" t="str">
        <f>"690050786"</f>
        <v>690050786</v>
      </c>
    </row>
    <row r="499" spans="1:21" x14ac:dyDescent="0.3">
      <c r="A499" t="str">
        <f>"940027196"</f>
        <v>940027196</v>
      </c>
      <c r="B499" t="str">
        <f>"890 884 539 00010"</f>
        <v>890 884 539 00010</v>
      </c>
      <c r="D499" t="str">
        <f>"CDS DENTAL VISION GENTILLY"</f>
        <v>CDS DENTAL VISION GENTILLY</v>
      </c>
      <c r="E499" t="str">
        <f>"24-26"</f>
        <v>24-26</v>
      </c>
      <c r="F499" t="str">
        <f>"24 AVENUE PAUL VAILLANT COUTURIER"</f>
        <v>24 AVENUE PAUL VAILLANT COUTURIER</v>
      </c>
      <c r="H499" t="str">
        <f>"94250"</f>
        <v>94250</v>
      </c>
      <c r="I499" t="str">
        <f>"GENTILLY"</f>
        <v>GENTILLY</v>
      </c>
      <c r="J499" t="str">
        <f>"01 58 07 01 80 "</f>
        <v xml:space="preserve">01 58 07 01 80 </v>
      </c>
      <c r="L499" s="1">
        <v>44585</v>
      </c>
      <c r="M499" t="str">
        <f t="shared" si="76"/>
        <v>124</v>
      </c>
      <c r="N499" t="str">
        <f t="shared" si="77"/>
        <v>Centre de Santé</v>
      </c>
      <c r="O499" t="str">
        <f>"60"</f>
        <v>60</v>
      </c>
      <c r="P499" t="str">
        <f>"Association Loi 1901 non Reconnue d'Utilité Publique"</f>
        <v>Association Loi 1901 non Reconnue d'Utilité Publique</v>
      </c>
      <c r="Q499" t="str">
        <f t="shared" si="82"/>
        <v>36</v>
      </c>
      <c r="R499" t="str">
        <f t="shared" si="83"/>
        <v>Tarifs conventionnels assurance maladie</v>
      </c>
      <c r="U499" t="str">
        <f>"940027188"</f>
        <v>940027188</v>
      </c>
    </row>
    <row r="500" spans="1:21" x14ac:dyDescent="0.3">
      <c r="A500" t="str">
        <f>"940028236"</f>
        <v>940028236</v>
      </c>
      <c r="B500" t="str">
        <f>"898 308 317 00020"</f>
        <v>898 308 317 00020</v>
      </c>
      <c r="D500" t="str">
        <f>"CDS GENTILLY"</f>
        <v>CDS GENTILLY</v>
      </c>
      <c r="F500" t="str">
        <f>"41 RUE CHARLES FREROT"</f>
        <v>41 RUE CHARLES FREROT</v>
      </c>
      <c r="H500" t="str">
        <f>"94250"</f>
        <v>94250</v>
      </c>
      <c r="I500" t="str">
        <f>"GENTILLY"</f>
        <v>GENTILLY</v>
      </c>
      <c r="J500" t="str">
        <f>"01 88 59 55 55 "</f>
        <v xml:space="preserve">01 88 59 55 55 </v>
      </c>
      <c r="L500" s="1">
        <v>44585</v>
      </c>
      <c r="M500" t="str">
        <f t="shared" si="76"/>
        <v>124</v>
      </c>
      <c r="N500" t="str">
        <f t="shared" si="77"/>
        <v>Centre de Santé</v>
      </c>
      <c r="O500" t="str">
        <f>"60"</f>
        <v>60</v>
      </c>
      <c r="P500" t="str">
        <f>"Association Loi 1901 non Reconnue d'Utilité Publique"</f>
        <v>Association Loi 1901 non Reconnue d'Utilité Publique</v>
      </c>
      <c r="Q500" t="str">
        <f t="shared" si="82"/>
        <v>36</v>
      </c>
      <c r="R500" t="str">
        <f t="shared" si="83"/>
        <v>Tarifs conventionnels assurance maladie</v>
      </c>
      <c r="U500" t="str">
        <f>"940028228"</f>
        <v>940028228</v>
      </c>
    </row>
    <row r="501" spans="1:21" x14ac:dyDescent="0.3">
      <c r="A501" t="str">
        <f>"410011027"</f>
        <v>410011027</v>
      </c>
      <c r="B501" t="str">
        <f>"130 026 792 00072"</f>
        <v>130 026 792 00072</v>
      </c>
      <c r="D501" t="str">
        <f>"CENTRE DE SANTÉ DU GRAND BLÉSOIS"</f>
        <v>CENTRE DE SANTÉ DU GRAND BLÉSOIS</v>
      </c>
      <c r="F501" t="str">
        <f>"8 RUE DES TILLEULS"</f>
        <v>8 RUE DES TILLEULS</v>
      </c>
      <c r="H501" t="str">
        <f>"41000"</f>
        <v>41000</v>
      </c>
      <c r="I501" t="str">
        <f>"ST SULPICE DE POMMERAY"</f>
        <v>ST SULPICE DE POMMERAY</v>
      </c>
      <c r="J501" t="str">
        <f>"02 54 87 60 68 "</f>
        <v xml:space="preserve">02 54 87 60 68 </v>
      </c>
      <c r="L501" s="1">
        <v>44580</v>
      </c>
      <c r="M501" t="str">
        <f t="shared" si="76"/>
        <v>124</v>
      </c>
      <c r="N501" t="str">
        <f t="shared" si="77"/>
        <v>Centre de Santé</v>
      </c>
      <c r="O501" t="str">
        <f>"28"</f>
        <v>28</v>
      </c>
      <c r="P501" t="str">
        <f>"Groupement d'Intérêt Public (G.I.P.)"</f>
        <v>Groupement d'Intérêt Public (G.I.P.)</v>
      </c>
      <c r="Q501" t="str">
        <f t="shared" si="82"/>
        <v>36</v>
      </c>
      <c r="R501" t="str">
        <f t="shared" si="83"/>
        <v>Tarifs conventionnels assurance maladie</v>
      </c>
      <c r="U501" t="str">
        <f>"450022801"</f>
        <v>450022801</v>
      </c>
    </row>
    <row r="502" spans="1:21" x14ac:dyDescent="0.3">
      <c r="A502" t="str">
        <f>"750069395"</f>
        <v>750069395</v>
      </c>
      <c r="B502" t="str">
        <f>"882 685 290 00026"</f>
        <v>882 685 290 00026</v>
      </c>
      <c r="D502" t="str">
        <f>"CDS TOM"</f>
        <v>CDS TOM</v>
      </c>
      <c r="F502" t="str">
        <f>"160 BOULEVARD DU MONTPARNASE"</f>
        <v>160 BOULEVARD DU MONTPARNASE</v>
      </c>
      <c r="H502" t="str">
        <f>"75014"</f>
        <v>75014</v>
      </c>
      <c r="I502" t="str">
        <f>"PARIS"</f>
        <v>PARIS</v>
      </c>
      <c r="J502" t="str">
        <f>"06 52 95 78 82 "</f>
        <v xml:space="preserve">06 52 95 78 82 </v>
      </c>
      <c r="L502" s="1">
        <v>44580</v>
      </c>
      <c r="M502" t="str">
        <f t="shared" si="76"/>
        <v>124</v>
      </c>
      <c r="N502" t="str">
        <f t="shared" si="77"/>
        <v>Centre de Santé</v>
      </c>
      <c r="O502" t="str">
        <f>"60"</f>
        <v>60</v>
      </c>
      <c r="P502" t="str">
        <f>"Association Loi 1901 non Reconnue d'Utilité Publique"</f>
        <v>Association Loi 1901 non Reconnue d'Utilité Publique</v>
      </c>
      <c r="Q502" t="str">
        <f t="shared" si="82"/>
        <v>36</v>
      </c>
      <c r="R502" t="str">
        <f t="shared" si="83"/>
        <v>Tarifs conventionnels assurance maladie</v>
      </c>
      <c r="U502" t="str">
        <f>"750069387"</f>
        <v>750069387</v>
      </c>
    </row>
    <row r="503" spans="1:21" x14ac:dyDescent="0.3">
      <c r="A503" t="str">
        <f>"220025126"</f>
        <v>220025126</v>
      </c>
      <c r="B503" t="str">
        <f>"212 201 065 00019"</f>
        <v>212 201 065 00019</v>
      </c>
      <c r="D503" t="str">
        <f>"CDS MUNICIPAL LANGUEUX"</f>
        <v>CDS MUNICIPAL LANGUEUX</v>
      </c>
      <c r="F503" t="str">
        <f>"6 RUE DE LA POSTE"</f>
        <v>6 RUE DE LA POSTE</v>
      </c>
      <c r="H503" t="str">
        <f>"22360"</f>
        <v>22360</v>
      </c>
      <c r="I503" t="str">
        <f>"LANGUEUX"</f>
        <v>LANGUEUX</v>
      </c>
      <c r="J503" t="str">
        <f>"02 96 62 25 50 "</f>
        <v xml:space="preserve">02 96 62 25 50 </v>
      </c>
      <c r="L503" s="1">
        <v>44578</v>
      </c>
      <c r="M503" t="str">
        <f t="shared" si="76"/>
        <v>124</v>
      </c>
      <c r="N503" t="str">
        <f t="shared" si="77"/>
        <v>Centre de Santé</v>
      </c>
      <c r="O503" t="str">
        <f>"03"</f>
        <v>03</v>
      </c>
      <c r="P503" t="str">
        <f>"Commune"</f>
        <v>Commune</v>
      </c>
      <c r="Q503" t="str">
        <f t="shared" si="82"/>
        <v>36</v>
      </c>
      <c r="R503" t="str">
        <f t="shared" si="83"/>
        <v>Tarifs conventionnels assurance maladie</v>
      </c>
      <c r="U503" t="str">
        <f>"220025118"</f>
        <v>220025118</v>
      </c>
    </row>
    <row r="504" spans="1:21" x14ac:dyDescent="0.3">
      <c r="A504" t="str">
        <f>"690050265"</f>
        <v>690050265</v>
      </c>
      <c r="B504" t="str">
        <f>"893 069 294 00013"</f>
        <v>893 069 294 00013</v>
      </c>
      <c r="D504" t="str">
        <f>"CENTRE DE SANTE SO CLINIC CALADE"</f>
        <v>CENTRE DE SANTE SO CLINIC CALADE</v>
      </c>
      <c r="F504" t="str">
        <f>"150 RUE DE LA REPUBLIQUE"</f>
        <v>150 RUE DE LA REPUBLIQUE</v>
      </c>
      <c r="H504" t="str">
        <f>"69400"</f>
        <v>69400</v>
      </c>
      <c r="I504" t="str">
        <f>"VILLEFRANCHE SUR SAONE"</f>
        <v>VILLEFRANCHE SUR SAONE</v>
      </c>
      <c r="L504" s="1">
        <v>44578</v>
      </c>
      <c r="M504" t="str">
        <f t="shared" si="76"/>
        <v>124</v>
      </c>
      <c r="N504" t="str">
        <f t="shared" si="77"/>
        <v>Centre de Santé</v>
      </c>
      <c r="O504" t="str">
        <f>"60"</f>
        <v>60</v>
      </c>
      <c r="P504" t="str">
        <f>"Association Loi 1901 non Reconnue d'Utilité Publique"</f>
        <v>Association Loi 1901 non Reconnue d'Utilité Publique</v>
      </c>
      <c r="Q504" t="str">
        <f t="shared" si="82"/>
        <v>36</v>
      </c>
      <c r="R504" t="str">
        <f t="shared" si="83"/>
        <v>Tarifs conventionnels assurance maladie</v>
      </c>
      <c r="U504" t="str">
        <f>"690050257"</f>
        <v>690050257</v>
      </c>
    </row>
    <row r="505" spans="1:21" x14ac:dyDescent="0.3">
      <c r="A505" t="str">
        <f>"780028668"</f>
        <v>780028668</v>
      </c>
      <c r="B505" t="str">
        <f>"904 703 766 00017"</f>
        <v>904 703 766 00017</v>
      </c>
      <c r="D505" t="str">
        <f>"CDS ORTHOVY"</f>
        <v>CDS ORTHOVY</v>
      </c>
      <c r="F505" t="str">
        <f>"3 PLACE DE PARIS"</f>
        <v>3 PLACE DE PARIS</v>
      </c>
      <c r="H505" t="str">
        <f>"78990"</f>
        <v>78990</v>
      </c>
      <c r="I505" t="str">
        <f>"ELANCOURT"</f>
        <v>ELANCOURT</v>
      </c>
      <c r="J505" t="str">
        <f>"01 34 44 38 04 "</f>
        <v xml:space="preserve">01 34 44 38 04 </v>
      </c>
      <c r="L505" s="1">
        <v>44578</v>
      </c>
      <c r="M505" t="str">
        <f t="shared" si="76"/>
        <v>124</v>
      </c>
      <c r="N505" t="str">
        <f t="shared" si="77"/>
        <v>Centre de Santé</v>
      </c>
      <c r="O505" t="str">
        <f>"60"</f>
        <v>60</v>
      </c>
      <c r="P505" t="str">
        <f>"Association Loi 1901 non Reconnue d'Utilité Publique"</f>
        <v>Association Loi 1901 non Reconnue d'Utilité Publique</v>
      </c>
      <c r="Q505" t="str">
        <f t="shared" si="82"/>
        <v>36</v>
      </c>
      <c r="R505" t="str">
        <f t="shared" si="83"/>
        <v>Tarifs conventionnels assurance maladie</v>
      </c>
      <c r="U505" t="str">
        <f>"780028650"</f>
        <v>780028650</v>
      </c>
    </row>
    <row r="506" spans="1:21" x14ac:dyDescent="0.3">
      <c r="A506" t="str">
        <f>"060030525"</f>
        <v>060030525</v>
      </c>
      <c r="B506" t="str">
        <f>"220 600 019 00016"</f>
        <v>220 600 019 00016</v>
      </c>
      <c r="D506" t="str">
        <f>"CDS DEPARTEMENTAL DE PUGET-THENIERS"</f>
        <v>CDS DEPARTEMENTAL DE PUGET-THENIERS</v>
      </c>
      <c r="E506" t="str">
        <f>"HOPITAL DU PAYS DE LA ROUDOULE"</f>
        <v>HOPITAL DU PAYS DE LA ROUDOULE</v>
      </c>
      <c r="F506" t="str">
        <f>""</f>
        <v/>
      </c>
      <c r="G506" t="str">
        <f>"QUARTIER LA CONDAMINE"</f>
        <v>QUARTIER LA CONDAMINE</v>
      </c>
      <c r="H506" t="str">
        <f>"06260"</f>
        <v>06260</v>
      </c>
      <c r="I506" t="str">
        <f>"PUGET THENIERS"</f>
        <v>PUGET THENIERS</v>
      </c>
      <c r="L506" s="1">
        <v>44575</v>
      </c>
      <c r="M506" t="str">
        <f t="shared" si="76"/>
        <v>124</v>
      </c>
      <c r="N506" t="str">
        <f t="shared" si="77"/>
        <v>Centre de Santé</v>
      </c>
      <c r="O506" t="str">
        <f>"02"</f>
        <v>02</v>
      </c>
      <c r="P506" t="str">
        <f>"Département"</f>
        <v>Département</v>
      </c>
      <c r="Q506" t="str">
        <f t="shared" si="82"/>
        <v>36</v>
      </c>
      <c r="R506" t="str">
        <f t="shared" si="83"/>
        <v>Tarifs conventionnels assurance maladie</v>
      </c>
      <c r="U506" t="str">
        <f>"060002003"</f>
        <v>060002003</v>
      </c>
    </row>
    <row r="507" spans="1:21" x14ac:dyDescent="0.3">
      <c r="A507" t="str">
        <f>"030008973"</f>
        <v>030008973</v>
      </c>
      <c r="B507" t="str">
        <f>"911 626 323 00016"</f>
        <v>911 626 323 00016</v>
      </c>
      <c r="D507" t="str">
        <f>"CENTRE DE SANTE DE BIEN ASSIS"</f>
        <v>CENTRE DE SANTE DE BIEN ASSIS</v>
      </c>
      <c r="F507" t="str">
        <f>"ESPLANADE ANDRE GUY"</f>
        <v>ESPLANADE ANDRE GUY</v>
      </c>
      <c r="H507" t="str">
        <f>"03100"</f>
        <v>03100</v>
      </c>
      <c r="I507" t="str">
        <f>"MONTLUCON"</f>
        <v>MONTLUCON</v>
      </c>
      <c r="J507" t="str">
        <f>"04 70 28 97 70 "</f>
        <v xml:space="preserve">04 70 28 97 70 </v>
      </c>
      <c r="L507" s="1">
        <v>44571</v>
      </c>
      <c r="M507" t="str">
        <f t="shared" si="76"/>
        <v>124</v>
      </c>
      <c r="N507" t="str">
        <f t="shared" si="77"/>
        <v>Centre de Santé</v>
      </c>
      <c r="O507" t="str">
        <f>"95"</f>
        <v>95</v>
      </c>
      <c r="P507" t="str">
        <f>"Société par Actions Simplifiée (S.A.S.)"</f>
        <v>Société par Actions Simplifiée (S.A.S.)</v>
      </c>
      <c r="Q507" t="str">
        <f t="shared" si="82"/>
        <v>36</v>
      </c>
      <c r="R507" t="str">
        <f t="shared" si="83"/>
        <v>Tarifs conventionnels assurance maladie</v>
      </c>
      <c r="U507" t="str">
        <f>"030008965"</f>
        <v>030008965</v>
      </c>
    </row>
    <row r="508" spans="1:21" x14ac:dyDescent="0.3">
      <c r="A508" t="str">
        <f>"400015137"</f>
        <v>400015137</v>
      </c>
      <c r="B508" t="str">
        <f>"390 749 547 00225"</f>
        <v>390 749 547 00225</v>
      </c>
      <c r="D508" t="str">
        <f>"CDS POLYVALENT MUTUALISTE DU GRAND DAX"</f>
        <v>CDS POLYVALENT MUTUALISTE DU GRAND DAX</v>
      </c>
      <c r="E508" t="str">
        <f>"VILLAGE LANDAIS ALZHEIMER"</f>
        <v>VILLAGE LANDAIS ALZHEIMER</v>
      </c>
      <c r="F508" t="str">
        <f>"RUE PASCAL LAFITTE"</f>
        <v>RUE PASCAL LAFITTE</v>
      </c>
      <c r="H508" t="str">
        <f>"40100"</f>
        <v>40100</v>
      </c>
      <c r="I508" t="str">
        <f>"DAX"</f>
        <v>DAX</v>
      </c>
      <c r="J508" t="str">
        <f>"05 58 85 88 80 "</f>
        <v xml:space="preserve">05 58 85 88 80 </v>
      </c>
      <c r="L508" s="1">
        <v>44571</v>
      </c>
      <c r="M508" t="str">
        <f t="shared" si="76"/>
        <v>124</v>
      </c>
      <c r="N508" t="str">
        <f t="shared" si="77"/>
        <v>Centre de Santé</v>
      </c>
      <c r="O508" t="str">
        <f>"47"</f>
        <v>47</v>
      </c>
      <c r="P508" t="str">
        <f>"Société Mutualiste"</f>
        <v>Société Mutualiste</v>
      </c>
      <c r="Q508" t="str">
        <f t="shared" si="82"/>
        <v>36</v>
      </c>
      <c r="R508" t="str">
        <f t="shared" si="83"/>
        <v>Tarifs conventionnels assurance maladie</v>
      </c>
      <c r="U508" t="str">
        <f>"400011300"</f>
        <v>400011300</v>
      </c>
    </row>
    <row r="509" spans="1:21" x14ac:dyDescent="0.3">
      <c r="A509" t="str">
        <f>"850029422"</f>
        <v>850029422</v>
      </c>
      <c r="B509" t="str">
        <f>"218 502 060 00013"</f>
        <v>218 502 060 00013</v>
      </c>
      <c r="D509" t="str">
        <f>"CENTRE DE SANTE MUNICIPAL"</f>
        <v>CENTRE DE SANTE MUNICIPAL</v>
      </c>
      <c r="F509" t="str">
        <f>"1 RUE D'ARON"</f>
        <v>1 RUE D'ARON</v>
      </c>
      <c r="H509" t="str">
        <f>"85540"</f>
        <v>85540</v>
      </c>
      <c r="I509" t="str">
        <f>"ST CYR EN TALMONDAIS"</f>
        <v>ST CYR EN TALMONDAIS</v>
      </c>
      <c r="L509" s="1">
        <v>44571</v>
      </c>
      <c r="M509" t="str">
        <f t="shared" si="76"/>
        <v>124</v>
      </c>
      <c r="N509" t="str">
        <f t="shared" si="77"/>
        <v>Centre de Santé</v>
      </c>
      <c r="O509" t="str">
        <f>"03"</f>
        <v>03</v>
      </c>
      <c r="P509" t="str">
        <f>"Commune"</f>
        <v>Commune</v>
      </c>
      <c r="Q509" t="str">
        <f t="shared" si="82"/>
        <v>36</v>
      </c>
      <c r="R509" t="str">
        <f t="shared" si="83"/>
        <v>Tarifs conventionnels assurance maladie</v>
      </c>
      <c r="U509" t="str">
        <f>"850029414"</f>
        <v>850029414</v>
      </c>
    </row>
    <row r="510" spans="1:21" x14ac:dyDescent="0.3">
      <c r="A510" t="str">
        <f>"950046268"</f>
        <v>950046268</v>
      </c>
      <c r="B510" t="str">
        <f>"901 835 355 00024"</f>
        <v>901 835 355 00024</v>
      </c>
      <c r="D510" t="str">
        <f>"CDS SAINT BRICE SOUS FORET"</f>
        <v>CDS SAINT BRICE SOUS FORET</v>
      </c>
      <c r="F510" t="str">
        <f>"RUE JEAN MONNET"</f>
        <v>RUE JEAN MONNET</v>
      </c>
      <c r="H510" t="str">
        <f>"95350"</f>
        <v>95350</v>
      </c>
      <c r="I510" t="str">
        <f>"ST BRICE SOUS FORET"</f>
        <v>ST BRICE SOUS FORET</v>
      </c>
      <c r="L510" s="1">
        <v>44571</v>
      </c>
      <c r="M510" t="str">
        <f t="shared" si="76"/>
        <v>124</v>
      </c>
      <c r="N510" t="str">
        <f t="shared" si="77"/>
        <v>Centre de Santé</v>
      </c>
      <c r="O510" t="str">
        <f>"60"</f>
        <v>60</v>
      </c>
      <c r="P510" t="str">
        <f>"Association Loi 1901 non Reconnue d'Utilité Publique"</f>
        <v>Association Loi 1901 non Reconnue d'Utilité Publique</v>
      </c>
      <c r="Q510" t="str">
        <f t="shared" si="82"/>
        <v>36</v>
      </c>
      <c r="R510" t="str">
        <f t="shared" si="83"/>
        <v>Tarifs conventionnels assurance maladie</v>
      </c>
      <c r="U510" t="str">
        <f>"950047621"</f>
        <v>950047621</v>
      </c>
    </row>
    <row r="511" spans="1:21" x14ac:dyDescent="0.3">
      <c r="A511" t="str">
        <f>"950046342"</f>
        <v>950046342</v>
      </c>
      <c r="B511" t="str">
        <f>"903 823 672 00014"</f>
        <v>903 823 672 00014</v>
      </c>
      <c r="D511" t="str">
        <f>"CDS DENTAIRE ORTHODONTIE FUTURSMILE"</f>
        <v>CDS DENTAIRE ORTHODONTIE FUTURSMILE</v>
      </c>
      <c r="F511" t="str">
        <f>"1 PLACE DE L ABBE PIERRE"</f>
        <v>1 PLACE DE L ABBE PIERRE</v>
      </c>
      <c r="H511" t="str">
        <f>"95490"</f>
        <v>95490</v>
      </c>
      <c r="I511" t="str">
        <f>"VAUREAL"</f>
        <v>VAUREAL</v>
      </c>
      <c r="J511" t="str">
        <f>"01 34 46 34 71 "</f>
        <v xml:space="preserve">01 34 46 34 71 </v>
      </c>
      <c r="L511" s="1">
        <v>44571</v>
      </c>
      <c r="M511" t="str">
        <f t="shared" si="76"/>
        <v>124</v>
      </c>
      <c r="N511" t="str">
        <f t="shared" si="77"/>
        <v>Centre de Santé</v>
      </c>
      <c r="O511" t="str">
        <f>"60"</f>
        <v>60</v>
      </c>
      <c r="P511" t="str">
        <f>"Association Loi 1901 non Reconnue d'Utilité Publique"</f>
        <v>Association Loi 1901 non Reconnue d'Utilité Publique</v>
      </c>
      <c r="Q511" t="str">
        <f t="shared" si="82"/>
        <v>36</v>
      </c>
      <c r="R511" t="str">
        <f t="shared" si="83"/>
        <v>Tarifs conventionnels assurance maladie</v>
      </c>
      <c r="U511" t="str">
        <f>"950046334"</f>
        <v>950046334</v>
      </c>
    </row>
    <row r="512" spans="1:21" x14ac:dyDescent="0.3">
      <c r="A512" t="str">
        <f>"300020153"</f>
        <v>300020153</v>
      </c>
      <c r="B512" t="str">
        <f>"900 739 467 00018"</f>
        <v>900 739 467 00018</v>
      </c>
      <c r="D512" t="str">
        <f>"CENTRE DE SANTE DENTAIRE NIMES COURBET"</f>
        <v>CENTRE DE SANTE DENTAIRE NIMES COURBET</v>
      </c>
      <c r="F512" t="str">
        <f>"20 BOULEVARD AMIRAL COURBET"</f>
        <v>20 BOULEVARD AMIRAL COURBET</v>
      </c>
      <c r="H512" t="str">
        <f>"30000"</f>
        <v>30000</v>
      </c>
      <c r="I512" t="str">
        <f>"NIMES"</f>
        <v>NIMES</v>
      </c>
      <c r="J512" t="str">
        <f>"04 84 89 01 14 "</f>
        <v xml:space="preserve">04 84 89 01 14 </v>
      </c>
      <c r="L512" s="1">
        <v>44567</v>
      </c>
      <c r="M512" t="str">
        <f t="shared" si="76"/>
        <v>124</v>
      </c>
      <c r="N512" t="str">
        <f t="shared" si="77"/>
        <v>Centre de Santé</v>
      </c>
      <c r="O512" t="str">
        <f>"60"</f>
        <v>60</v>
      </c>
      <c r="P512" t="str">
        <f>"Association Loi 1901 non Reconnue d'Utilité Publique"</f>
        <v>Association Loi 1901 non Reconnue d'Utilité Publique</v>
      </c>
      <c r="Q512" t="str">
        <f t="shared" si="82"/>
        <v>36</v>
      </c>
      <c r="R512" t="str">
        <f t="shared" si="83"/>
        <v>Tarifs conventionnels assurance maladie</v>
      </c>
      <c r="U512" t="str">
        <f>"300020146"</f>
        <v>300020146</v>
      </c>
    </row>
    <row r="513" spans="1:21" x14ac:dyDescent="0.3">
      <c r="A513" t="str">
        <f>"310033899"</f>
        <v>310033899</v>
      </c>
      <c r="B513" t="str">
        <f>"899 772 735 00010"</f>
        <v>899 772 735 00010</v>
      </c>
      <c r="D513" t="str">
        <f>"CENTRE OPHTALMOLOGIQUE DE TOULOUSE"</f>
        <v>CENTRE OPHTALMOLOGIQUE DE TOULOUSE</v>
      </c>
      <c r="F513" t="str">
        <f>"8 BOULEVARD DE LA GARE"</f>
        <v>8 BOULEVARD DE LA GARE</v>
      </c>
      <c r="H513" t="str">
        <f>"31500"</f>
        <v>31500</v>
      </c>
      <c r="I513" t="str">
        <f>"TOULOUSE"</f>
        <v>TOULOUSE</v>
      </c>
      <c r="L513" s="1">
        <v>44567</v>
      </c>
      <c r="M513" t="str">
        <f t="shared" si="76"/>
        <v>124</v>
      </c>
      <c r="N513" t="str">
        <f t="shared" si="77"/>
        <v>Centre de Santé</v>
      </c>
      <c r="O513" t="str">
        <f>"60"</f>
        <v>60</v>
      </c>
      <c r="P513" t="str">
        <f>"Association Loi 1901 non Reconnue d'Utilité Publique"</f>
        <v>Association Loi 1901 non Reconnue d'Utilité Publique</v>
      </c>
      <c r="Q513" t="str">
        <f t="shared" si="82"/>
        <v>36</v>
      </c>
      <c r="R513" t="str">
        <f t="shared" si="83"/>
        <v>Tarifs conventionnels assurance maladie</v>
      </c>
      <c r="U513" t="str">
        <f>"310033881"</f>
        <v>310033881</v>
      </c>
    </row>
    <row r="514" spans="1:21" x14ac:dyDescent="0.3">
      <c r="A514" t="str">
        <f>"660012527"</f>
        <v>660012527</v>
      </c>
      <c r="B514" t="str">
        <f>"899 872 238 00014"</f>
        <v>899 872 238 00014</v>
      </c>
      <c r="D514" t="str">
        <f>"CENTRE DE SANTE DES PYRENEES 66000"</f>
        <v>CENTRE DE SANTE DES PYRENEES 66000</v>
      </c>
      <c r="F514" t="str">
        <f>"11 BOULEVARD DES PYRENEES"</f>
        <v>11 BOULEVARD DES PYRENEES</v>
      </c>
      <c r="H514" t="str">
        <f>"66000"</f>
        <v>66000</v>
      </c>
      <c r="I514" t="str">
        <f>"PERPIGNAN"</f>
        <v>PERPIGNAN</v>
      </c>
      <c r="J514" t="str">
        <f>"04 48 07 23 20 "</f>
        <v xml:space="preserve">04 48 07 23 20 </v>
      </c>
      <c r="L514" s="1">
        <v>44567</v>
      </c>
      <c r="M514" t="str">
        <f t="shared" ref="M514:M577" si="84">"124"</f>
        <v>124</v>
      </c>
      <c r="N514" t="str">
        <f t="shared" ref="N514:N577" si="85">"Centre de Santé"</f>
        <v>Centre de Santé</v>
      </c>
      <c r="O514" t="str">
        <f>"60"</f>
        <v>60</v>
      </c>
      <c r="P514" t="str">
        <f>"Association Loi 1901 non Reconnue d'Utilité Publique"</f>
        <v>Association Loi 1901 non Reconnue d'Utilité Publique</v>
      </c>
      <c r="Q514" t="str">
        <f t="shared" si="82"/>
        <v>36</v>
      </c>
      <c r="R514" t="str">
        <f t="shared" si="83"/>
        <v>Tarifs conventionnels assurance maladie</v>
      </c>
      <c r="U514" t="str">
        <f>"660012519"</f>
        <v>660012519</v>
      </c>
    </row>
    <row r="515" spans="1:21" x14ac:dyDescent="0.3">
      <c r="A515" t="str">
        <f>"670021310"</f>
        <v>670021310</v>
      </c>
      <c r="B515" t="str">
        <f>"898 625 751 00026"</f>
        <v>898 625 751 00026</v>
      </c>
      <c r="D515" t="str">
        <f>"CTRE DE SANTE ACCES VISION STRASBOURG"</f>
        <v>CTRE DE SANTE ACCES VISION STRASBOURG</v>
      </c>
      <c r="E515" t="str">
        <f>"N° 273-275"</f>
        <v>N° 273-275</v>
      </c>
      <c r="F515" t="str">
        <f>"273 AVENUE DE COLMAR"</f>
        <v>273 AVENUE DE COLMAR</v>
      </c>
      <c r="H515" t="str">
        <f>"67100"</f>
        <v>67100</v>
      </c>
      <c r="I515" t="str">
        <f>"STRASBOURG"</f>
        <v>STRASBOURG</v>
      </c>
      <c r="J515" t="str">
        <f>"03 67 10 30 31 "</f>
        <v xml:space="preserve">03 67 10 30 31 </v>
      </c>
      <c r="L515" s="1">
        <v>44567</v>
      </c>
      <c r="M515" t="str">
        <f t="shared" si="84"/>
        <v>124</v>
      </c>
      <c r="N515" t="str">
        <f t="shared" si="85"/>
        <v>Centre de Santé</v>
      </c>
      <c r="O515" t="str">
        <f>"62"</f>
        <v>62</v>
      </c>
      <c r="P515" t="str">
        <f>"Association de Droit Local"</f>
        <v>Association de Droit Local</v>
      </c>
      <c r="Q515" t="str">
        <f t="shared" si="82"/>
        <v>36</v>
      </c>
      <c r="R515" t="str">
        <f t="shared" si="83"/>
        <v>Tarifs conventionnels assurance maladie</v>
      </c>
      <c r="U515" t="str">
        <f>"670021302"</f>
        <v>670021302</v>
      </c>
    </row>
    <row r="516" spans="1:21" x14ac:dyDescent="0.3">
      <c r="A516" t="str">
        <f>"910025386"</f>
        <v>910025386</v>
      </c>
      <c r="B516" t="str">
        <f>"890 189 285 00012"</f>
        <v>890 189 285 00012</v>
      </c>
      <c r="D516" t="str">
        <f>"CDS CORBEIL ESSONNES DENTIRIS"</f>
        <v>CDS CORBEIL ESSONNES DENTIRIS</v>
      </c>
      <c r="F516" t="str">
        <f>"7 RUE DE PARIS"</f>
        <v>7 RUE DE PARIS</v>
      </c>
      <c r="H516" t="str">
        <f>"91100"</f>
        <v>91100</v>
      </c>
      <c r="I516" t="str">
        <f>"CORBEIL ESSONNES"</f>
        <v>CORBEIL ESSONNES</v>
      </c>
      <c r="J516" t="str">
        <f>"01 60 89 17 18 "</f>
        <v xml:space="preserve">01 60 89 17 18 </v>
      </c>
      <c r="L516" s="1">
        <v>44567</v>
      </c>
      <c r="M516" t="str">
        <f t="shared" si="84"/>
        <v>124</v>
      </c>
      <c r="N516" t="str">
        <f t="shared" si="85"/>
        <v>Centre de Santé</v>
      </c>
      <c r="O516" t="str">
        <f>"60"</f>
        <v>60</v>
      </c>
      <c r="P516" t="str">
        <f>"Association Loi 1901 non Reconnue d'Utilité Publique"</f>
        <v>Association Loi 1901 non Reconnue d'Utilité Publique</v>
      </c>
      <c r="Q516" t="str">
        <f t="shared" si="82"/>
        <v>36</v>
      </c>
      <c r="R516" t="str">
        <f t="shared" si="83"/>
        <v>Tarifs conventionnels assurance maladie</v>
      </c>
      <c r="U516" t="str">
        <f>"910025378"</f>
        <v>910025378</v>
      </c>
    </row>
    <row r="517" spans="1:21" x14ac:dyDescent="0.3">
      <c r="A517" t="str">
        <f>"590067005"</f>
        <v>590067005</v>
      </c>
      <c r="B517" t="str">
        <f>"899 838 999 00014"</f>
        <v>899 838 999 00014</v>
      </c>
      <c r="D517" t="str">
        <f>"CSP ACCES VISION LILLE"</f>
        <v>CSP ACCES VISION LILLE</v>
      </c>
      <c r="F517" t="str">
        <f>"89 BOULEVARD DE LA LIBERTÉ"</f>
        <v>89 BOULEVARD DE LA LIBERTÉ</v>
      </c>
      <c r="H517" t="str">
        <f>"59000"</f>
        <v>59000</v>
      </c>
      <c r="I517" t="str">
        <f>"LILLE"</f>
        <v>LILLE</v>
      </c>
      <c r="L517" s="1">
        <v>44566</v>
      </c>
      <c r="M517" t="str">
        <f t="shared" si="84"/>
        <v>124</v>
      </c>
      <c r="N517" t="str">
        <f t="shared" si="85"/>
        <v>Centre de Santé</v>
      </c>
      <c r="O517" t="str">
        <f>"60"</f>
        <v>60</v>
      </c>
      <c r="P517" t="str">
        <f>"Association Loi 1901 non Reconnue d'Utilité Publique"</f>
        <v>Association Loi 1901 non Reconnue d'Utilité Publique</v>
      </c>
      <c r="Q517" t="str">
        <f t="shared" si="82"/>
        <v>36</v>
      </c>
      <c r="R517" t="str">
        <f t="shared" si="83"/>
        <v>Tarifs conventionnels assurance maladie</v>
      </c>
      <c r="U517" t="str">
        <f>"940028939"</f>
        <v>940028939</v>
      </c>
    </row>
    <row r="518" spans="1:21" x14ac:dyDescent="0.3">
      <c r="A518" t="str">
        <f>"240018036"</f>
        <v>240018036</v>
      </c>
      <c r="B518" t="str">
        <f>"781 698 253 00171"</f>
        <v>781 698 253 00171</v>
      </c>
      <c r="D518" t="str">
        <f>"CDS DENTAIRE MUTUALISTE DE CHANCELADE"</f>
        <v>CDS DENTAIRE MUTUALISTE DE CHANCELADE</v>
      </c>
      <c r="F518" t="str">
        <f>"73 RUE JEAN JAURES"</f>
        <v>73 RUE JEAN JAURES</v>
      </c>
      <c r="H518" t="str">
        <f>"24650"</f>
        <v>24650</v>
      </c>
      <c r="I518" t="str">
        <f>"CHANCELADE"</f>
        <v>CHANCELADE</v>
      </c>
      <c r="J518" t="str">
        <f>"05 24 13 80 10 "</f>
        <v xml:space="preserve">05 24 13 80 10 </v>
      </c>
      <c r="L518" s="1">
        <v>44565</v>
      </c>
      <c r="M518" t="str">
        <f t="shared" si="84"/>
        <v>124</v>
      </c>
      <c r="N518" t="str">
        <f t="shared" si="85"/>
        <v>Centre de Santé</v>
      </c>
      <c r="O518" t="str">
        <f>"47"</f>
        <v>47</v>
      </c>
      <c r="P518" t="str">
        <f>"Société Mutualiste"</f>
        <v>Société Mutualiste</v>
      </c>
      <c r="Q518" t="str">
        <f t="shared" si="82"/>
        <v>36</v>
      </c>
      <c r="R518" t="str">
        <f t="shared" si="83"/>
        <v>Tarifs conventionnels assurance maladie</v>
      </c>
      <c r="U518" t="str">
        <f>"240015628"</f>
        <v>240015628</v>
      </c>
    </row>
    <row r="519" spans="1:21" x14ac:dyDescent="0.3">
      <c r="A519" t="str">
        <f>"540026325"</f>
        <v>540026325</v>
      </c>
      <c r="B519" t="str">
        <f>"444 379 903 00032"</f>
        <v>444 379 903 00032</v>
      </c>
      <c r="D519" t="str">
        <f>"CENTRE DE SANTE LORSANTE"</f>
        <v>CENTRE DE SANTE LORSANTE</v>
      </c>
      <c r="F519" t="str">
        <f>"33 RUE CARNOT"</f>
        <v>33 RUE CARNOT</v>
      </c>
      <c r="H519" t="str">
        <f>"54190"</f>
        <v>54190</v>
      </c>
      <c r="I519" t="str">
        <f>"VILLERUPT"</f>
        <v>VILLERUPT</v>
      </c>
      <c r="J519" t="str">
        <f>"03 72 61 15 25 "</f>
        <v xml:space="preserve">03 72 61 15 25 </v>
      </c>
      <c r="L519" s="1">
        <v>44565</v>
      </c>
      <c r="M519" t="str">
        <f t="shared" si="84"/>
        <v>124</v>
      </c>
      <c r="N519" t="str">
        <f t="shared" si="85"/>
        <v>Centre de Santé</v>
      </c>
      <c r="O519" t="str">
        <f>"47"</f>
        <v>47</v>
      </c>
      <c r="P519" t="str">
        <f>"Société Mutualiste"</f>
        <v>Société Mutualiste</v>
      </c>
      <c r="Q519" t="str">
        <f t="shared" si="82"/>
        <v>36</v>
      </c>
      <c r="R519" t="str">
        <f t="shared" si="83"/>
        <v>Tarifs conventionnels assurance maladie</v>
      </c>
      <c r="U519" t="str">
        <f>"540008869"</f>
        <v>540008869</v>
      </c>
    </row>
    <row r="520" spans="1:21" x14ac:dyDescent="0.3">
      <c r="A520" t="str">
        <f>"920038148"</f>
        <v>920038148</v>
      </c>
      <c r="B520" t="str">
        <f>"903 669 653 00011"</f>
        <v>903 669 653 00011</v>
      </c>
      <c r="D520" t="str">
        <f>"CDS ATRIUM DEFENSE"</f>
        <v>CDS ATRIUM DEFENSE</v>
      </c>
      <c r="F520" t="str">
        <f>"2 PLACE DE BELGIQUE"</f>
        <v>2 PLACE DE BELGIQUE</v>
      </c>
      <c r="H520" t="str">
        <f>"92250"</f>
        <v>92250</v>
      </c>
      <c r="I520" t="str">
        <f>"LA GARENNE COLOMBES"</f>
        <v>LA GARENNE COLOMBES</v>
      </c>
      <c r="J520" t="str">
        <f>"01 86 90 96 61 "</f>
        <v xml:space="preserve">01 86 90 96 61 </v>
      </c>
      <c r="L520" s="1">
        <v>44565</v>
      </c>
      <c r="M520" t="str">
        <f t="shared" si="84"/>
        <v>124</v>
      </c>
      <c r="N520" t="str">
        <f t="shared" si="85"/>
        <v>Centre de Santé</v>
      </c>
      <c r="O520" t="str">
        <f>"60"</f>
        <v>60</v>
      </c>
      <c r="P520" t="str">
        <f>"Association Loi 1901 non Reconnue d'Utilité Publique"</f>
        <v>Association Loi 1901 non Reconnue d'Utilité Publique</v>
      </c>
      <c r="Q520" t="str">
        <f t="shared" si="82"/>
        <v>36</v>
      </c>
      <c r="R520" t="str">
        <f t="shared" si="83"/>
        <v>Tarifs conventionnels assurance maladie</v>
      </c>
      <c r="U520" t="str">
        <f>"750069247"</f>
        <v>750069247</v>
      </c>
    </row>
    <row r="521" spans="1:21" x14ac:dyDescent="0.3">
      <c r="A521" t="str">
        <f>"930031281"</f>
        <v>930031281</v>
      </c>
      <c r="B521" t="str">
        <f>"902 100 999 00017"</f>
        <v>902 100 999 00017</v>
      </c>
      <c r="D521" t="str">
        <f>"CDS ARAGO SANTE"</f>
        <v>CDS ARAGO SANTE</v>
      </c>
      <c r="E521" t="str">
        <f>"26-34"</f>
        <v>26-34</v>
      </c>
      <c r="F521" t="str">
        <f>"26 RUE ARAGO"</f>
        <v>26 RUE ARAGO</v>
      </c>
      <c r="H521" t="str">
        <f>"93400"</f>
        <v>93400</v>
      </c>
      <c r="I521" t="str">
        <f>"ST OUEN SUR SEINE"</f>
        <v>ST OUEN SUR SEINE</v>
      </c>
      <c r="J521" t="str">
        <f>"07 71 71 72 10 "</f>
        <v xml:space="preserve">07 71 71 72 10 </v>
      </c>
      <c r="L521" s="1">
        <v>44565</v>
      </c>
      <c r="M521" t="str">
        <f t="shared" si="84"/>
        <v>124</v>
      </c>
      <c r="N521" t="str">
        <f t="shared" si="85"/>
        <v>Centre de Santé</v>
      </c>
      <c r="O521" t="str">
        <f>"60"</f>
        <v>60</v>
      </c>
      <c r="P521" t="str">
        <f>"Association Loi 1901 non Reconnue d'Utilité Publique"</f>
        <v>Association Loi 1901 non Reconnue d'Utilité Publique</v>
      </c>
      <c r="Q521" t="str">
        <f t="shared" si="82"/>
        <v>36</v>
      </c>
      <c r="R521" t="str">
        <f t="shared" si="83"/>
        <v>Tarifs conventionnels assurance maladie</v>
      </c>
      <c r="U521" t="str">
        <f>"940028905"</f>
        <v>940028905</v>
      </c>
    </row>
    <row r="522" spans="1:21" x14ac:dyDescent="0.3">
      <c r="A522" t="str">
        <f>"950046185"</f>
        <v>950046185</v>
      </c>
      <c r="B522" t="str">
        <f>"902 574 599 00012"</f>
        <v>902 574 599 00012</v>
      </c>
      <c r="D522" t="str">
        <f>"CDS MEDICAL ARGENTEUIL"</f>
        <v>CDS MEDICAL ARGENTEUIL</v>
      </c>
      <c r="F522" t="str">
        <f>"54 RUE VIGNERONDE"</f>
        <v>54 RUE VIGNERONDE</v>
      </c>
      <c r="H522" t="str">
        <f>"95100"</f>
        <v>95100</v>
      </c>
      <c r="I522" t="str">
        <f>"ARGENTEUIL"</f>
        <v>ARGENTEUIL</v>
      </c>
      <c r="J522" t="str">
        <f>"09 83 32 40 62 "</f>
        <v xml:space="preserve">09 83 32 40 62 </v>
      </c>
      <c r="L522" s="1">
        <v>44565</v>
      </c>
      <c r="M522" t="str">
        <f t="shared" si="84"/>
        <v>124</v>
      </c>
      <c r="N522" t="str">
        <f t="shared" si="85"/>
        <v>Centre de Santé</v>
      </c>
      <c r="O522" t="str">
        <f>"60"</f>
        <v>60</v>
      </c>
      <c r="P522" t="str">
        <f>"Association Loi 1901 non Reconnue d'Utilité Publique"</f>
        <v>Association Loi 1901 non Reconnue d'Utilité Publique</v>
      </c>
      <c r="Q522" t="str">
        <f t="shared" si="82"/>
        <v>36</v>
      </c>
      <c r="R522" t="str">
        <f t="shared" si="83"/>
        <v>Tarifs conventionnels assurance maladie</v>
      </c>
      <c r="U522" t="str">
        <f>"950046177"</f>
        <v>950046177</v>
      </c>
    </row>
    <row r="523" spans="1:21" x14ac:dyDescent="0.3">
      <c r="A523" t="str">
        <f>"130052061"</f>
        <v>130052061</v>
      </c>
      <c r="B523" t="str">
        <f>"893 226 399 00010"</f>
        <v>893 226 399 00010</v>
      </c>
      <c r="D523" t="str">
        <f>"DENT'NDOC"</f>
        <v>DENT'NDOC</v>
      </c>
      <c r="F523" t="str">
        <f>"3 PLACE LOUIS SICARD"</f>
        <v>3 PLACE LOUIS SICARD</v>
      </c>
      <c r="H523" t="str">
        <f>"13400"</f>
        <v>13400</v>
      </c>
      <c r="I523" t="str">
        <f>"AUBAGNE"</f>
        <v>AUBAGNE</v>
      </c>
      <c r="J523" t="str">
        <f>"06 23 82 08 55 "</f>
        <v xml:space="preserve">06 23 82 08 55 </v>
      </c>
      <c r="L523" s="1">
        <v>44564</v>
      </c>
      <c r="M523" t="str">
        <f t="shared" si="84"/>
        <v>124</v>
      </c>
      <c r="N523" t="str">
        <f t="shared" si="85"/>
        <v>Centre de Santé</v>
      </c>
      <c r="O523" t="str">
        <f>"61"</f>
        <v>61</v>
      </c>
      <c r="P523" t="str">
        <f>"Association Loi 1901 Reconnue d'Utilité Publique"</f>
        <v>Association Loi 1901 Reconnue d'Utilité Publique</v>
      </c>
      <c r="Q523" t="str">
        <f t="shared" si="82"/>
        <v>36</v>
      </c>
      <c r="R523" t="str">
        <f t="shared" si="83"/>
        <v>Tarifs conventionnels assurance maladie</v>
      </c>
      <c r="U523" t="str">
        <f>"130052053"</f>
        <v>130052053</v>
      </c>
    </row>
    <row r="524" spans="1:21" x14ac:dyDescent="0.3">
      <c r="A524" t="str">
        <f>"130052491"</f>
        <v>130052491</v>
      </c>
      <c r="B524" t="str">
        <f>"261 300 081 00096"</f>
        <v>261 300 081 00096</v>
      </c>
      <c r="D524" t="str">
        <f>"CDSU ESPACE SANTE LES AYGALADES"</f>
        <v>CDSU ESPACE SANTE LES AYGALADES</v>
      </c>
      <c r="F524" t="str">
        <f>"28 BOULEVARD DE LA PADOUANE"</f>
        <v>28 BOULEVARD DE LA PADOUANE</v>
      </c>
      <c r="H524" t="str">
        <f>"13015"</f>
        <v>13015</v>
      </c>
      <c r="I524" t="str">
        <f>"MARSEILLE"</f>
        <v>MARSEILLE</v>
      </c>
      <c r="J524" t="str">
        <f>"04 91 43 50 60 "</f>
        <v xml:space="preserve">04 91 43 50 60 </v>
      </c>
      <c r="L524" s="1">
        <v>44564</v>
      </c>
      <c r="M524" t="str">
        <f t="shared" si="84"/>
        <v>124</v>
      </c>
      <c r="N524" t="str">
        <f t="shared" si="85"/>
        <v>Centre de Santé</v>
      </c>
      <c r="O524" t="str">
        <f>"15"</f>
        <v>15</v>
      </c>
      <c r="P524" t="str">
        <f>"Etablissement Public Régional d'Hospitalisation"</f>
        <v>Etablissement Public Régional d'Hospitalisation</v>
      </c>
      <c r="Q524" t="str">
        <f t="shared" si="82"/>
        <v>36</v>
      </c>
      <c r="R524" t="str">
        <f t="shared" si="83"/>
        <v>Tarifs conventionnels assurance maladie</v>
      </c>
      <c r="U524" t="str">
        <f>"130786049"</f>
        <v>130786049</v>
      </c>
    </row>
    <row r="525" spans="1:21" x14ac:dyDescent="0.3">
      <c r="A525" t="str">
        <f>"140033465"</f>
        <v>140033465</v>
      </c>
      <c r="B525" t="str">
        <f>"898 790 886 00011"</f>
        <v>898 790 886 00011</v>
      </c>
      <c r="D525" t="str">
        <f>"CENTRE HELLO SANTE CAEN"</f>
        <v>CENTRE HELLO SANTE CAEN</v>
      </c>
      <c r="F525" t="str">
        <f>"4 RUE DE VAUCELLES"</f>
        <v>4 RUE DE VAUCELLES</v>
      </c>
      <c r="H525" t="str">
        <f>"14000"</f>
        <v>14000</v>
      </c>
      <c r="I525" t="str">
        <f>"CAEN"</f>
        <v>CAEN</v>
      </c>
      <c r="J525" t="str">
        <f>"02 61 67 12 34 "</f>
        <v xml:space="preserve">02 61 67 12 34 </v>
      </c>
      <c r="L525" s="1">
        <v>44564</v>
      </c>
      <c r="M525" t="str">
        <f t="shared" si="84"/>
        <v>124</v>
      </c>
      <c r="N525" t="str">
        <f t="shared" si="85"/>
        <v>Centre de Santé</v>
      </c>
      <c r="O525" t="str">
        <f>"60"</f>
        <v>60</v>
      </c>
      <c r="P525" t="str">
        <f>"Association Loi 1901 non Reconnue d'Utilité Publique"</f>
        <v>Association Loi 1901 non Reconnue d'Utilité Publique</v>
      </c>
      <c r="Q525" t="str">
        <f t="shared" si="82"/>
        <v>36</v>
      </c>
      <c r="R525" t="str">
        <f t="shared" si="83"/>
        <v>Tarifs conventionnels assurance maladie</v>
      </c>
      <c r="U525" t="str">
        <f>"140033457"</f>
        <v>140033457</v>
      </c>
    </row>
    <row r="526" spans="1:21" x14ac:dyDescent="0.3">
      <c r="A526" t="str">
        <f>"380025684"</f>
        <v>380025684</v>
      </c>
      <c r="D526" t="str">
        <f>"CENTRE DE SANTE MUNICIPAL DES ABRETS"</f>
        <v>CENTRE DE SANTE MUNICIPAL DES ABRETS</v>
      </c>
      <c r="F526" t="str">
        <f>"105 RUE JEAN JANNIN"</f>
        <v>105 RUE JEAN JANNIN</v>
      </c>
      <c r="H526" t="str">
        <f>"38490"</f>
        <v>38490</v>
      </c>
      <c r="I526" t="str">
        <f>"LES ABRETS EN DAUPHINE"</f>
        <v>LES ABRETS EN DAUPHINE</v>
      </c>
      <c r="J526" t="str">
        <f>"04 58 47 49 47 "</f>
        <v xml:space="preserve">04 58 47 49 47 </v>
      </c>
      <c r="L526" s="1">
        <v>44564</v>
      </c>
      <c r="M526" t="str">
        <f t="shared" si="84"/>
        <v>124</v>
      </c>
      <c r="N526" t="str">
        <f t="shared" si="85"/>
        <v>Centre de Santé</v>
      </c>
      <c r="O526" t="str">
        <f>"03"</f>
        <v>03</v>
      </c>
      <c r="P526" t="str">
        <f>"Commune"</f>
        <v>Commune</v>
      </c>
      <c r="Q526" t="str">
        <f t="shared" si="82"/>
        <v>36</v>
      </c>
      <c r="R526" t="str">
        <f t="shared" si="83"/>
        <v>Tarifs conventionnels assurance maladie</v>
      </c>
      <c r="U526" t="str">
        <f>"380025676"</f>
        <v>380025676</v>
      </c>
    </row>
    <row r="527" spans="1:21" x14ac:dyDescent="0.3">
      <c r="A527" t="str">
        <f>"690050224"</f>
        <v>690050224</v>
      </c>
      <c r="D527" t="str">
        <f>"CENTRE DE SANTE DE L'INSA DE LYON"</f>
        <v>CENTRE DE SANTE DE L'INSA DE LYON</v>
      </c>
      <c r="E527" t="str">
        <f>"BATIMENT CAMILLE CLAUDEL"</f>
        <v>BATIMENT CAMILLE CLAUDEL</v>
      </c>
      <c r="F527" t="str">
        <f>"8 ALLEE DU RHONE"</f>
        <v>8 ALLEE DU RHONE</v>
      </c>
      <c r="H527" t="str">
        <f>"69621"</f>
        <v>69621</v>
      </c>
      <c r="I527" t="str">
        <f>"VILLEURBANNE CEDEX"</f>
        <v>VILLEURBANNE CEDEX</v>
      </c>
      <c r="J527" t="str">
        <f>"04 72 43 79 98 "</f>
        <v xml:space="preserve">04 72 43 79 98 </v>
      </c>
      <c r="L527" s="1">
        <v>44564</v>
      </c>
      <c r="M527" t="str">
        <f t="shared" si="84"/>
        <v>124</v>
      </c>
      <c r="N527" t="str">
        <f t="shared" si="85"/>
        <v>Centre de Santé</v>
      </c>
      <c r="O527" t="str">
        <f>"26"</f>
        <v>26</v>
      </c>
      <c r="P527" t="str">
        <f>"Autre Etablissement Public à Caractère Administratif"</f>
        <v>Autre Etablissement Public à Caractère Administratif</v>
      </c>
      <c r="Q527" t="str">
        <f t="shared" si="82"/>
        <v>36</v>
      </c>
      <c r="R527" t="str">
        <f t="shared" si="83"/>
        <v>Tarifs conventionnels assurance maladie</v>
      </c>
      <c r="U527" t="str">
        <f>"690050216"</f>
        <v>690050216</v>
      </c>
    </row>
    <row r="528" spans="1:21" x14ac:dyDescent="0.3">
      <c r="A528" t="str">
        <f>"750068835"</f>
        <v>750068835</v>
      </c>
      <c r="B528" t="str">
        <f>"903 361 731 00016"</f>
        <v>903 361 731 00016</v>
      </c>
      <c r="D528" t="str">
        <f>"CDS DENTAIRE POMPIDOU"</f>
        <v>CDS DENTAIRE POMPIDOU</v>
      </c>
      <c r="F528" t="str">
        <f>"31 RUE BEAUBOURG"</f>
        <v>31 RUE BEAUBOURG</v>
      </c>
      <c r="H528" t="str">
        <f>"75003"</f>
        <v>75003</v>
      </c>
      <c r="I528" t="str">
        <f>"PARIS"</f>
        <v>PARIS</v>
      </c>
      <c r="L528" s="1">
        <v>44564</v>
      </c>
      <c r="M528" t="str">
        <f t="shared" si="84"/>
        <v>124</v>
      </c>
      <c r="N528" t="str">
        <f t="shared" si="85"/>
        <v>Centre de Santé</v>
      </c>
      <c r="O528" t="str">
        <f>"60"</f>
        <v>60</v>
      </c>
      <c r="P528" t="str">
        <f>"Association Loi 1901 non Reconnue d'Utilité Publique"</f>
        <v>Association Loi 1901 non Reconnue d'Utilité Publique</v>
      </c>
      <c r="Q528" t="str">
        <f t="shared" si="82"/>
        <v>36</v>
      </c>
      <c r="R528" t="str">
        <f t="shared" si="83"/>
        <v>Tarifs conventionnels assurance maladie</v>
      </c>
      <c r="U528" t="str">
        <f>"750068827"</f>
        <v>750068827</v>
      </c>
    </row>
    <row r="529" spans="1:21" x14ac:dyDescent="0.3">
      <c r="A529" t="str">
        <f>"750069296"</f>
        <v>750069296</v>
      </c>
      <c r="B529" t="str">
        <f>"904 476 033 00017"</f>
        <v>904 476 033 00017</v>
      </c>
      <c r="D529" t="str">
        <f>"CDS DENTAIRE AL DENTE"</f>
        <v>CDS DENTAIRE AL DENTE</v>
      </c>
      <c r="F529" t="str">
        <f>"110 BOULEVARD BOULEVARD DE SEBASTOPOL"</f>
        <v>110 BOULEVARD BOULEVARD DE SEBASTOPOL</v>
      </c>
      <c r="H529" t="str">
        <f>"75003"</f>
        <v>75003</v>
      </c>
      <c r="I529" t="str">
        <f>"PARIS"</f>
        <v>PARIS</v>
      </c>
      <c r="J529" t="str">
        <f>"06 50 92 92 62 "</f>
        <v xml:space="preserve">06 50 92 92 62 </v>
      </c>
      <c r="L529" s="1">
        <v>44564</v>
      </c>
      <c r="M529" t="str">
        <f t="shared" si="84"/>
        <v>124</v>
      </c>
      <c r="N529" t="str">
        <f t="shared" si="85"/>
        <v>Centre de Santé</v>
      </c>
      <c r="O529" t="str">
        <f>"60"</f>
        <v>60</v>
      </c>
      <c r="P529" t="str">
        <f>"Association Loi 1901 non Reconnue d'Utilité Publique"</f>
        <v>Association Loi 1901 non Reconnue d'Utilité Publique</v>
      </c>
      <c r="Q529" t="str">
        <f t="shared" si="82"/>
        <v>36</v>
      </c>
      <c r="R529" t="str">
        <f t="shared" si="83"/>
        <v>Tarifs conventionnels assurance maladie</v>
      </c>
      <c r="U529" t="str">
        <f>"750069288"</f>
        <v>750069288</v>
      </c>
    </row>
    <row r="530" spans="1:21" x14ac:dyDescent="0.3">
      <c r="A530" t="str">
        <f>"840021232"</f>
        <v>840021232</v>
      </c>
      <c r="B530" t="str">
        <f>"879 817 203 00018"</f>
        <v>879 817 203 00018</v>
      </c>
      <c r="D530" t="str">
        <f>"CDS POLYVALENT PERTUIS SANTE"</f>
        <v>CDS POLYVALENT PERTUIS SANTE</v>
      </c>
      <c r="F530" t="str">
        <f>"434 RUE SAINT MARTIN"</f>
        <v>434 RUE SAINT MARTIN</v>
      </c>
      <c r="H530" t="str">
        <f>"84120"</f>
        <v>84120</v>
      </c>
      <c r="I530" t="str">
        <f>"PERTUIS"</f>
        <v>PERTUIS</v>
      </c>
      <c r="J530" t="str">
        <f>"04 48 20 51 15 "</f>
        <v xml:space="preserve">04 48 20 51 15 </v>
      </c>
      <c r="L530" s="1">
        <v>44564</v>
      </c>
      <c r="M530" t="str">
        <f t="shared" si="84"/>
        <v>124</v>
      </c>
      <c r="N530" t="str">
        <f t="shared" si="85"/>
        <v>Centre de Santé</v>
      </c>
      <c r="O530" t="str">
        <f>"61"</f>
        <v>61</v>
      </c>
      <c r="P530" t="str">
        <f>"Association Loi 1901 Reconnue d'Utilité Publique"</f>
        <v>Association Loi 1901 Reconnue d'Utilité Publique</v>
      </c>
      <c r="Q530" t="str">
        <f t="shared" si="82"/>
        <v>36</v>
      </c>
      <c r="R530" t="str">
        <f t="shared" si="83"/>
        <v>Tarifs conventionnels assurance maladie</v>
      </c>
      <c r="U530" t="str">
        <f>"130051212"</f>
        <v>130051212</v>
      </c>
    </row>
    <row r="531" spans="1:21" x14ac:dyDescent="0.3">
      <c r="A531" t="str">
        <f>"950046094"</f>
        <v>950046094</v>
      </c>
      <c r="B531" t="str">
        <f>"900 174 145 00020"</f>
        <v>900 174 145 00020</v>
      </c>
      <c r="D531" t="str">
        <f>"CDS DENTAIRE DE L HOTEL DE VILLE"</f>
        <v>CDS DENTAIRE DE L HOTEL DE VILLE</v>
      </c>
      <c r="F531" t="str">
        <f>"27 AVENUE DE LA CONSTELLATION"</f>
        <v>27 AVENUE DE LA CONSTELLATION</v>
      </c>
      <c r="H531" t="str">
        <f>"95000"</f>
        <v>95000</v>
      </c>
      <c r="I531" t="str">
        <f>"CERGY"</f>
        <v>CERGY</v>
      </c>
      <c r="J531" t="str">
        <f>"01 30 30 15 15 "</f>
        <v xml:space="preserve">01 30 30 15 15 </v>
      </c>
      <c r="L531" s="1">
        <v>44564</v>
      </c>
      <c r="M531" t="str">
        <f t="shared" si="84"/>
        <v>124</v>
      </c>
      <c r="N531" t="str">
        <f t="shared" si="85"/>
        <v>Centre de Santé</v>
      </c>
      <c r="O531" t="str">
        <f t="shared" ref="O531:O537" si="86">"60"</f>
        <v>60</v>
      </c>
      <c r="P531" t="str">
        <f t="shared" ref="P531:P537" si="87">"Association Loi 1901 non Reconnue d'Utilité Publique"</f>
        <v>Association Loi 1901 non Reconnue d'Utilité Publique</v>
      </c>
      <c r="Q531" t="str">
        <f t="shared" si="82"/>
        <v>36</v>
      </c>
      <c r="R531" t="str">
        <f t="shared" si="83"/>
        <v>Tarifs conventionnels assurance maladie</v>
      </c>
      <c r="U531" t="str">
        <f>"950046086"</f>
        <v>950046086</v>
      </c>
    </row>
    <row r="532" spans="1:21" x14ac:dyDescent="0.3">
      <c r="A532" t="str">
        <f>"260022389"</f>
        <v>260022389</v>
      </c>
      <c r="D532" t="str">
        <f>"CENTRE DE SANTE SUBLIM'DENT VALENCE"</f>
        <v>CENTRE DE SANTE SUBLIM'DENT VALENCE</v>
      </c>
      <c r="F532" t="str">
        <f>"497 AVENUE VICTOR HUGO"</f>
        <v>497 AVENUE VICTOR HUGO</v>
      </c>
      <c r="H532" t="str">
        <f>"26000"</f>
        <v>26000</v>
      </c>
      <c r="I532" t="str">
        <f>"VALENCE"</f>
        <v>VALENCE</v>
      </c>
      <c r="L532" s="1">
        <v>44562</v>
      </c>
      <c r="M532" t="str">
        <f t="shared" si="84"/>
        <v>124</v>
      </c>
      <c r="N532" t="str">
        <f t="shared" si="85"/>
        <v>Centre de Santé</v>
      </c>
      <c r="O532" t="str">
        <f t="shared" si="86"/>
        <v>60</v>
      </c>
      <c r="P532" t="str">
        <f t="shared" si="87"/>
        <v>Association Loi 1901 non Reconnue d'Utilité Publique</v>
      </c>
      <c r="Q532" t="str">
        <f t="shared" si="82"/>
        <v>36</v>
      </c>
      <c r="R532" t="str">
        <f t="shared" si="83"/>
        <v>Tarifs conventionnels assurance maladie</v>
      </c>
      <c r="U532" t="str">
        <f>"380019869"</f>
        <v>380019869</v>
      </c>
    </row>
    <row r="533" spans="1:21" x14ac:dyDescent="0.3">
      <c r="A533" t="str">
        <f>"420017402"</f>
        <v>420017402</v>
      </c>
      <c r="B533" t="str">
        <f>"313 524 753 00172"</f>
        <v>313 524 753 00172</v>
      </c>
      <c r="D533" t="str">
        <f>"CENTRE DE SANTE COSEM SAINT-ETIENNE"</f>
        <v>CENTRE DE SANTE COSEM SAINT-ETIENNE</v>
      </c>
      <c r="F533" t="str">
        <f>"6 RUE BLANQUI"</f>
        <v>6 RUE BLANQUI</v>
      </c>
      <c r="H533" t="str">
        <f>"42000"</f>
        <v>42000</v>
      </c>
      <c r="I533" t="str">
        <f>"ST ETIENNE"</f>
        <v>ST ETIENNE</v>
      </c>
      <c r="J533" t="str">
        <f>"01 55 07 16 16 "</f>
        <v xml:space="preserve">01 55 07 16 16 </v>
      </c>
      <c r="L533" s="1">
        <v>44562</v>
      </c>
      <c r="M533" t="str">
        <f t="shared" si="84"/>
        <v>124</v>
      </c>
      <c r="N533" t="str">
        <f t="shared" si="85"/>
        <v>Centre de Santé</v>
      </c>
      <c r="O533" t="str">
        <f t="shared" si="86"/>
        <v>60</v>
      </c>
      <c r="P533" t="str">
        <f t="shared" si="87"/>
        <v>Association Loi 1901 non Reconnue d'Utilité Publique</v>
      </c>
      <c r="Q533" t="str">
        <f t="shared" si="82"/>
        <v>36</v>
      </c>
      <c r="R533" t="str">
        <f t="shared" si="83"/>
        <v>Tarifs conventionnels assurance maladie</v>
      </c>
      <c r="U533" t="str">
        <f>"750819583"</f>
        <v>750819583</v>
      </c>
    </row>
    <row r="534" spans="1:21" x14ac:dyDescent="0.3">
      <c r="A534" t="str">
        <f>"440005858"</f>
        <v>440005858</v>
      </c>
      <c r="B534" t="str">
        <f>"308 973 635 00078"</f>
        <v>308 973 635 00078</v>
      </c>
      <c r="D534" t="str">
        <f>"CDS DE NANTES - MSP BELLEVUE"</f>
        <v>CDS DE NANTES - MSP BELLEVUE</v>
      </c>
      <c r="F534" t="str">
        <f>"15 BOULEVARD JEAN MOULIN"</f>
        <v>15 BOULEVARD JEAN MOULIN</v>
      </c>
      <c r="H534" t="str">
        <f>"44100"</f>
        <v>44100</v>
      </c>
      <c r="I534" t="str">
        <f>"NANTES"</f>
        <v>NANTES</v>
      </c>
      <c r="J534" t="str">
        <f>"02 72 17 73 70 "</f>
        <v xml:space="preserve">02 72 17 73 70 </v>
      </c>
      <c r="L534" s="1">
        <v>44562</v>
      </c>
      <c r="M534" t="str">
        <f t="shared" si="84"/>
        <v>124</v>
      </c>
      <c r="N534" t="str">
        <f t="shared" si="85"/>
        <v>Centre de Santé</v>
      </c>
      <c r="O534" t="str">
        <f t="shared" si="86"/>
        <v>60</v>
      </c>
      <c r="P534" t="str">
        <f t="shared" si="87"/>
        <v>Association Loi 1901 non Reconnue d'Utilité Publique</v>
      </c>
      <c r="Q534" t="str">
        <f t="shared" si="82"/>
        <v>36</v>
      </c>
      <c r="R534" t="str">
        <f t="shared" si="83"/>
        <v>Tarifs conventionnels assurance maladie</v>
      </c>
      <c r="U534" t="str">
        <f>"440005841"</f>
        <v>440005841</v>
      </c>
    </row>
    <row r="535" spans="1:21" x14ac:dyDescent="0.3">
      <c r="A535" t="str">
        <f>"690050505"</f>
        <v>690050505</v>
      </c>
      <c r="B535" t="str">
        <f>"887 530 954 00049"</f>
        <v>887 530 954 00049</v>
      </c>
      <c r="D535" t="str">
        <f>"CENTRE DE SANTE INWECARE VILLEURBANNE"</f>
        <v>CENTRE DE SANTE INWECARE VILLEURBANNE</v>
      </c>
      <c r="F535" t="str">
        <f>"79 BOULEVARD DE STALINGRAD"</f>
        <v>79 BOULEVARD DE STALINGRAD</v>
      </c>
      <c r="H535" t="str">
        <f>"69100"</f>
        <v>69100</v>
      </c>
      <c r="I535" t="str">
        <f>"VILLEURBANNE"</f>
        <v>VILLEURBANNE</v>
      </c>
      <c r="L535" s="1">
        <v>44558</v>
      </c>
      <c r="M535" t="str">
        <f t="shared" si="84"/>
        <v>124</v>
      </c>
      <c r="N535" t="str">
        <f t="shared" si="85"/>
        <v>Centre de Santé</v>
      </c>
      <c r="O535" t="str">
        <f t="shared" si="86"/>
        <v>60</v>
      </c>
      <c r="P535" t="str">
        <f t="shared" si="87"/>
        <v>Association Loi 1901 non Reconnue d'Utilité Publique</v>
      </c>
      <c r="Q535" t="str">
        <f t="shared" si="82"/>
        <v>36</v>
      </c>
      <c r="R535" t="str">
        <f t="shared" si="83"/>
        <v>Tarifs conventionnels assurance maladie</v>
      </c>
      <c r="U535" t="str">
        <f>"750068017"</f>
        <v>750068017</v>
      </c>
    </row>
    <row r="536" spans="1:21" x14ac:dyDescent="0.3">
      <c r="A536" t="str">
        <f>"640021374"</f>
        <v>640021374</v>
      </c>
      <c r="B536" t="str">
        <f>"830 073 276 00297"</f>
        <v>830 073 276 00297</v>
      </c>
      <c r="D536" t="str">
        <f>"CDS DENTAIRE FOCH"</f>
        <v>CDS DENTAIRE FOCH</v>
      </c>
      <c r="F536" t="str">
        <f>"2 RUE MARECHAL FOCH"</f>
        <v>2 RUE MARECHAL FOCH</v>
      </c>
      <c r="H536" t="str">
        <f>"64000"</f>
        <v>64000</v>
      </c>
      <c r="I536" t="str">
        <f>"PAU"</f>
        <v>PAU</v>
      </c>
      <c r="J536" t="str">
        <f>"01 85 11 10 11 "</f>
        <v xml:space="preserve">01 85 11 10 11 </v>
      </c>
      <c r="L536" s="1">
        <v>44550</v>
      </c>
      <c r="M536" t="str">
        <f t="shared" si="84"/>
        <v>124</v>
      </c>
      <c r="N536" t="str">
        <f t="shared" si="85"/>
        <v>Centre de Santé</v>
      </c>
      <c r="O536" t="str">
        <f t="shared" si="86"/>
        <v>60</v>
      </c>
      <c r="P536" t="str">
        <f t="shared" si="87"/>
        <v>Association Loi 1901 non Reconnue d'Utilité Publique</v>
      </c>
      <c r="Q536" t="str">
        <f t="shared" si="82"/>
        <v>36</v>
      </c>
      <c r="R536" t="str">
        <f t="shared" si="83"/>
        <v>Tarifs conventionnels assurance maladie</v>
      </c>
      <c r="U536" t="str">
        <f>"750060345"</f>
        <v>750060345</v>
      </c>
    </row>
    <row r="537" spans="1:21" x14ac:dyDescent="0.3">
      <c r="A537" t="str">
        <f>"570029926"</f>
        <v>570029926</v>
      </c>
      <c r="B537" t="str">
        <f>"893 686 329 00077"</f>
        <v>893 686 329 00077</v>
      </c>
      <c r="D537" t="str">
        <f>"CDS IMAGERIE MED SAINT AVOLD"</f>
        <v>CDS IMAGERIE MED SAINT AVOLD</v>
      </c>
      <c r="F537" t="str">
        <f>"PLACE DU MARCHE"</f>
        <v>PLACE DU MARCHE</v>
      </c>
      <c r="H537" t="str">
        <f>"57500"</f>
        <v>57500</v>
      </c>
      <c r="I537" t="str">
        <f>"ST AVOLD"</f>
        <v>ST AVOLD</v>
      </c>
      <c r="J537" t="str">
        <f>"03 87 92 27 74 "</f>
        <v xml:space="preserve">03 87 92 27 74 </v>
      </c>
      <c r="L537" s="1">
        <v>44547</v>
      </c>
      <c r="M537" t="str">
        <f t="shared" si="84"/>
        <v>124</v>
      </c>
      <c r="N537" t="str">
        <f t="shared" si="85"/>
        <v>Centre de Santé</v>
      </c>
      <c r="O537" t="str">
        <f t="shared" si="86"/>
        <v>60</v>
      </c>
      <c r="P537" t="str">
        <f t="shared" si="87"/>
        <v>Association Loi 1901 non Reconnue d'Utilité Publique</v>
      </c>
      <c r="Q537" t="str">
        <f t="shared" si="82"/>
        <v>36</v>
      </c>
      <c r="R537" t="str">
        <f t="shared" si="83"/>
        <v>Tarifs conventionnels assurance maladie</v>
      </c>
      <c r="U537" t="str">
        <f>"750067472"</f>
        <v>750067472</v>
      </c>
    </row>
    <row r="538" spans="1:21" x14ac:dyDescent="0.3">
      <c r="A538" t="str">
        <f>"130052004"</f>
        <v>130052004</v>
      </c>
      <c r="B538" t="str">
        <f>"893 226 548 00012"</f>
        <v>893 226 548 00012</v>
      </c>
      <c r="D538" t="str">
        <f>"CDS OPHTALMO ET DENTAIRE - STANISLAS"</f>
        <v>CDS OPHTALMO ET DENTAIRE - STANISLAS</v>
      </c>
      <c r="F538" t="str">
        <f>"82 RUE STANISLAS TORRENTS"</f>
        <v>82 RUE STANISLAS TORRENTS</v>
      </c>
      <c r="H538" t="str">
        <f>"13006"</f>
        <v>13006</v>
      </c>
      <c r="I538" t="str">
        <f>"MARSEILLE"</f>
        <v>MARSEILLE</v>
      </c>
      <c r="J538" t="str">
        <f>"06 58 43 35 00 "</f>
        <v xml:space="preserve">06 58 43 35 00 </v>
      </c>
      <c r="L538" s="1">
        <v>44546</v>
      </c>
      <c r="M538" t="str">
        <f t="shared" si="84"/>
        <v>124</v>
      </c>
      <c r="N538" t="str">
        <f t="shared" si="85"/>
        <v>Centre de Santé</v>
      </c>
      <c r="O538" t="str">
        <f>"61"</f>
        <v>61</v>
      </c>
      <c r="P538" t="str">
        <f>"Association Loi 1901 Reconnue d'Utilité Publique"</f>
        <v>Association Loi 1901 Reconnue d'Utilité Publique</v>
      </c>
      <c r="Q538" t="str">
        <f t="shared" si="82"/>
        <v>36</v>
      </c>
      <c r="R538" t="str">
        <f t="shared" si="83"/>
        <v>Tarifs conventionnels assurance maladie</v>
      </c>
      <c r="U538" t="str">
        <f>"130051998"</f>
        <v>130051998</v>
      </c>
    </row>
    <row r="539" spans="1:21" x14ac:dyDescent="0.3">
      <c r="A539" t="str">
        <f>"440059764"</f>
        <v>440059764</v>
      </c>
      <c r="D539" t="str">
        <f>"INSTITUT JEROME LEJEUNE NANTES"</f>
        <v>INSTITUT JEROME LEJEUNE NANTES</v>
      </c>
      <c r="F539" t="str">
        <f>"2 RUE D'ALLONVILLE"</f>
        <v>2 RUE D'ALLONVILLE</v>
      </c>
      <c r="H539" t="str">
        <f>"44000"</f>
        <v>44000</v>
      </c>
      <c r="I539" t="str">
        <f>"NANTES"</f>
        <v>NANTES</v>
      </c>
      <c r="L539" s="1">
        <v>44546</v>
      </c>
      <c r="M539" t="str">
        <f t="shared" si="84"/>
        <v>124</v>
      </c>
      <c r="N539" t="str">
        <f t="shared" si="85"/>
        <v>Centre de Santé</v>
      </c>
      <c r="O539" t="str">
        <f>"60"</f>
        <v>60</v>
      </c>
      <c r="P539" t="str">
        <f>"Association Loi 1901 non Reconnue d'Utilité Publique"</f>
        <v>Association Loi 1901 non Reconnue d'Utilité Publique</v>
      </c>
      <c r="Q539" t="str">
        <f t="shared" si="82"/>
        <v>36</v>
      </c>
      <c r="R539" t="str">
        <f t="shared" si="83"/>
        <v>Tarifs conventionnels assurance maladie</v>
      </c>
      <c r="U539" t="str">
        <f>"750017048"</f>
        <v>750017048</v>
      </c>
    </row>
    <row r="540" spans="1:21" x14ac:dyDescent="0.3">
      <c r="A540" t="str">
        <f>"390008308"</f>
        <v>390008308</v>
      </c>
      <c r="D540" t="str">
        <f>"CENTRE DE SANTE INFIRMIER DE LONS LE S"</f>
        <v>CENTRE DE SANTE INFIRMIER DE LONS LE S</v>
      </c>
      <c r="F540" t="str">
        <f>"212 RUE REGARD"</f>
        <v>212 RUE REGARD</v>
      </c>
      <c r="H540" t="str">
        <f>"39000"</f>
        <v>39000</v>
      </c>
      <c r="I540" t="str">
        <f>"LONS LE SAUNIER"</f>
        <v>LONS LE SAUNIER</v>
      </c>
      <c r="J540" t="str">
        <f>"03 84 24 90 90 "</f>
        <v xml:space="preserve">03 84 24 90 90 </v>
      </c>
      <c r="L540" s="1">
        <v>44545</v>
      </c>
      <c r="M540" t="str">
        <f t="shared" si="84"/>
        <v>124</v>
      </c>
      <c r="N540" t="str">
        <f t="shared" si="85"/>
        <v>Centre de Santé</v>
      </c>
      <c r="O540" t="str">
        <f>"47"</f>
        <v>47</v>
      </c>
      <c r="P540" t="str">
        <f>"Société Mutualiste"</f>
        <v>Société Mutualiste</v>
      </c>
      <c r="Q540" t="str">
        <f t="shared" si="82"/>
        <v>36</v>
      </c>
      <c r="R540" t="str">
        <f t="shared" si="83"/>
        <v>Tarifs conventionnels assurance maladie</v>
      </c>
      <c r="U540" t="str">
        <f>"390784007"</f>
        <v>390784007</v>
      </c>
    </row>
    <row r="541" spans="1:21" x14ac:dyDescent="0.3">
      <c r="A541" t="str">
        <f>"390008316"</f>
        <v>390008316</v>
      </c>
      <c r="D541" t="str">
        <f>"CENTRE DE SANTE MEDICAL DE TAVAUX"</f>
        <v>CENTRE DE SANTE MEDICAL DE TAVAUX</v>
      </c>
      <c r="F541" t="str">
        <f>"2 AVENUE DE L'EUROPE"</f>
        <v>2 AVENUE DE L'EUROPE</v>
      </c>
      <c r="H541" t="str">
        <f>"39500"</f>
        <v>39500</v>
      </c>
      <c r="I541" t="str">
        <f>"TAVAUX"</f>
        <v>TAVAUX</v>
      </c>
      <c r="J541" t="str">
        <f>"03 84 81 13 76 "</f>
        <v xml:space="preserve">03 84 81 13 76 </v>
      </c>
      <c r="L541" s="1">
        <v>44545</v>
      </c>
      <c r="M541" t="str">
        <f t="shared" si="84"/>
        <v>124</v>
      </c>
      <c r="N541" t="str">
        <f t="shared" si="85"/>
        <v>Centre de Santé</v>
      </c>
      <c r="O541" t="str">
        <f>"47"</f>
        <v>47</v>
      </c>
      <c r="P541" t="str">
        <f>"Société Mutualiste"</f>
        <v>Société Mutualiste</v>
      </c>
      <c r="Q541" t="str">
        <f t="shared" si="82"/>
        <v>36</v>
      </c>
      <c r="R541" t="str">
        <f t="shared" si="83"/>
        <v>Tarifs conventionnels assurance maladie</v>
      </c>
      <c r="U541" t="str">
        <f>"390784007"</f>
        <v>390784007</v>
      </c>
    </row>
    <row r="542" spans="1:21" x14ac:dyDescent="0.3">
      <c r="A542" t="str">
        <f>"780028155"</f>
        <v>780028155</v>
      </c>
      <c r="B542" t="str">
        <f>"890 583 149 00012"</f>
        <v>890 583 149 00012</v>
      </c>
      <c r="D542" t="str">
        <f>"CDS DENTAIRE OPHTA ESPACE ST QUENTIN"</f>
        <v>CDS DENTAIRE OPHTA ESPACE ST QUENTIN</v>
      </c>
      <c r="F542" t="str">
        <f>"5 RUE COLBERT"</f>
        <v>5 RUE COLBERT</v>
      </c>
      <c r="G542" t="str">
        <f>"ESPACE ST QUENTIN CCIAL"</f>
        <v>ESPACE ST QUENTIN CCIAL</v>
      </c>
      <c r="H542" t="str">
        <f>"78180"</f>
        <v>78180</v>
      </c>
      <c r="I542" t="str">
        <f>"MONTIGNY LE BRETONNEUX"</f>
        <v>MONTIGNY LE BRETONNEUX</v>
      </c>
      <c r="L542" s="1">
        <v>44545</v>
      </c>
      <c r="M542" t="str">
        <f t="shared" si="84"/>
        <v>124</v>
      </c>
      <c r="N542" t="str">
        <f t="shared" si="85"/>
        <v>Centre de Santé</v>
      </c>
      <c r="O542" t="str">
        <f>"60"</f>
        <v>60</v>
      </c>
      <c r="P542" t="str">
        <f>"Association Loi 1901 non Reconnue d'Utilité Publique"</f>
        <v>Association Loi 1901 non Reconnue d'Utilité Publique</v>
      </c>
      <c r="Q542" t="str">
        <f t="shared" si="82"/>
        <v>36</v>
      </c>
      <c r="R542" t="str">
        <f t="shared" si="83"/>
        <v>Tarifs conventionnels assurance maladie</v>
      </c>
      <c r="U542" t="str">
        <f>"780028148"</f>
        <v>780028148</v>
      </c>
    </row>
    <row r="543" spans="1:21" x14ac:dyDescent="0.3">
      <c r="A543" t="str">
        <f>"920037678"</f>
        <v>920037678</v>
      </c>
      <c r="B543" t="str">
        <f>"900 213 828 00016"</f>
        <v>900 213 828 00016</v>
      </c>
      <c r="D543" t="str">
        <f>"CDS REFAEL"</f>
        <v>CDS REFAEL</v>
      </c>
      <c r="F543" t="str">
        <f>"59 RUE DE VERDUN"</f>
        <v>59 RUE DE VERDUN</v>
      </c>
      <c r="H543" t="str">
        <f>"92150"</f>
        <v>92150</v>
      </c>
      <c r="I543" t="str">
        <f>"SURESNES"</f>
        <v>SURESNES</v>
      </c>
      <c r="J543" t="str">
        <f>"06 29 31 98 06 "</f>
        <v xml:space="preserve">06 29 31 98 06 </v>
      </c>
      <c r="L543" s="1">
        <v>44545</v>
      </c>
      <c r="M543" t="str">
        <f t="shared" si="84"/>
        <v>124</v>
      </c>
      <c r="N543" t="str">
        <f t="shared" si="85"/>
        <v>Centre de Santé</v>
      </c>
      <c r="O543" t="str">
        <f>"60"</f>
        <v>60</v>
      </c>
      <c r="P543" t="str">
        <f>"Association Loi 1901 non Reconnue d'Utilité Publique"</f>
        <v>Association Loi 1901 non Reconnue d'Utilité Publique</v>
      </c>
      <c r="Q543" t="str">
        <f t="shared" si="82"/>
        <v>36</v>
      </c>
      <c r="R543" t="str">
        <f t="shared" si="83"/>
        <v>Tarifs conventionnels assurance maladie</v>
      </c>
      <c r="U543" t="str">
        <f>"920037660"</f>
        <v>920037660</v>
      </c>
    </row>
    <row r="544" spans="1:21" x14ac:dyDescent="0.3">
      <c r="A544" t="str">
        <f>"440059236"</f>
        <v>440059236</v>
      </c>
      <c r="D544" t="str">
        <f>"CENTRE DENTAIRE DE L'ERAUDIÈRE"</f>
        <v>CENTRE DENTAIRE DE L'ERAUDIÈRE</v>
      </c>
      <c r="E544" t="str">
        <f>"22 - 26 RUE DES MARSAUDERIES"</f>
        <v>22 - 26 RUE DES MARSAUDERIES</v>
      </c>
      <c r="F544" t="str">
        <f>"26 RUE DES MARSAUDERIES"</f>
        <v>26 RUE DES MARSAUDERIES</v>
      </c>
      <c r="H544" t="str">
        <f>"44300"</f>
        <v>44300</v>
      </c>
      <c r="I544" t="str">
        <f>"NANTES"</f>
        <v>NANTES</v>
      </c>
      <c r="J544" t="str">
        <f>"06 49 32 01 89 "</f>
        <v xml:space="preserve">06 49 32 01 89 </v>
      </c>
      <c r="L544" s="1">
        <v>44537</v>
      </c>
      <c r="M544" t="str">
        <f t="shared" si="84"/>
        <v>124</v>
      </c>
      <c r="N544" t="str">
        <f t="shared" si="85"/>
        <v>Centre de Santé</v>
      </c>
      <c r="O544" t="str">
        <f>"60"</f>
        <v>60</v>
      </c>
      <c r="P544" t="str">
        <f>"Association Loi 1901 non Reconnue d'Utilité Publique"</f>
        <v>Association Loi 1901 non Reconnue d'Utilité Publique</v>
      </c>
      <c r="Q544" t="str">
        <f t="shared" si="82"/>
        <v>36</v>
      </c>
      <c r="R544" t="str">
        <f t="shared" si="83"/>
        <v>Tarifs conventionnels assurance maladie</v>
      </c>
      <c r="U544" t="str">
        <f>"440059228"</f>
        <v>440059228</v>
      </c>
    </row>
    <row r="545" spans="1:21" x14ac:dyDescent="0.3">
      <c r="A545" t="str">
        <f>"750067910"</f>
        <v>750067910</v>
      </c>
      <c r="B545" t="str">
        <f>"898 146 402 00018"</f>
        <v>898 146 402 00018</v>
      </c>
      <c r="D545" t="str">
        <f>"CDS DENTAIRE CHATELET RIVOLI"</f>
        <v>CDS DENTAIRE CHATELET RIVOLI</v>
      </c>
      <c r="E545" t="str">
        <f>"9-11"</f>
        <v>9-11</v>
      </c>
      <c r="F545" t="str">
        <f>"9 BOULEVARD SEBASTOPOL"</f>
        <v>9 BOULEVARD SEBASTOPOL</v>
      </c>
      <c r="H545" t="str">
        <f>"75001"</f>
        <v>75001</v>
      </c>
      <c r="I545" t="str">
        <f>"PARIS"</f>
        <v>PARIS</v>
      </c>
      <c r="J545" t="str">
        <f>"01 40 95 73 13 "</f>
        <v xml:space="preserve">01 40 95 73 13 </v>
      </c>
      <c r="L545" s="1">
        <v>44537</v>
      </c>
      <c r="M545" t="str">
        <f t="shared" si="84"/>
        <v>124</v>
      </c>
      <c r="N545" t="str">
        <f t="shared" si="85"/>
        <v>Centre de Santé</v>
      </c>
      <c r="O545" t="str">
        <f>"60"</f>
        <v>60</v>
      </c>
      <c r="P545" t="str">
        <f>"Association Loi 1901 non Reconnue d'Utilité Publique"</f>
        <v>Association Loi 1901 non Reconnue d'Utilité Publique</v>
      </c>
      <c r="Q545" t="str">
        <f t="shared" ref="Q545:Q612" si="88">"36"</f>
        <v>36</v>
      </c>
      <c r="R545" t="str">
        <f t="shared" ref="R545:R612" si="89">"Tarifs conventionnels assurance maladie"</f>
        <v>Tarifs conventionnels assurance maladie</v>
      </c>
      <c r="U545" t="str">
        <f>"750067902"</f>
        <v>750067902</v>
      </c>
    </row>
    <row r="546" spans="1:21" x14ac:dyDescent="0.3">
      <c r="A546" t="str">
        <f>"010012425"</f>
        <v>010012425</v>
      </c>
      <c r="B546" t="str">
        <f>"898 830 641 00012"</f>
        <v>898 830 641 00012</v>
      </c>
      <c r="D546" t="str">
        <f>"CENTRE DE SANTE DENTAIRE CLEMENCEAU"</f>
        <v>CENTRE DE SANTE DENTAIRE CLEMENCEAU</v>
      </c>
      <c r="F546" t="str">
        <f>"12 AVENUE CLEMENCEAU"</f>
        <v>12 AVENUE CLEMENCEAU</v>
      </c>
      <c r="H546" t="str">
        <f>"01100"</f>
        <v>01100</v>
      </c>
      <c r="I546" t="str">
        <f>"OYONNAX"</f>
        <v>OYONNAX</v>
      </c>
      <c r="J546" t="str">
        <f>"04 74 77 02 63 "</f>
        <v xml:space="preserve">04 74 77 02 63 </v>
      </c>
      <c r="L546" s="1">
        <v>44531</v>
      </c>
      <c r="M546" t="str">
        <f t="shared" si="84"/>
        <v>124</v>
      </c>
      <c r="N546" t="str">
        <f t="shared" si="85"/>
        <v>Centre de Santé</v>
      </c>
      <c r="O546" t="str">
        <f>"60"</f>
        <v>60</v>
      </c>
      <c r="P546" t="str">
        <f>"Association Loi 1901 non Reconnue d'Utilité Publique"</f>
        <v>Association Loi 1901 non Reconnue d'Utilité Publique</v>
      </c>
      <c r="Q546" t="str">
        <f t="shared" si="88"/>
        <v>36</v>
      </c>
      <c r="R546" t="str">
        <f t="shared" si="89"/>
        <v>Tarifs conventionnels assurance maladie</v>
      </c>
      <c r="U546" t="str">
        <f>"920037751"</f>
        <v>920037751</v>
      </c>
    </row>
    <row r="547" spans="1:21" x14ac:dyDescent="0.3">
      <c r="A547" t="str">
        <f>"240018051"</f>
        <v>240018051</v>
      </c>
      <c r="B547" t="str">
        <f>"222 400 012 00787"</f>
        <v>222 400 012 00787</v>
      </c>
      <c r="D547" t="str">
        <f>"CDS DPTAL ST MEDARD DE MUSSIDAN"</f>
        <v>CDS DPTAL ST MEDARD DE MUSSIDAN</v>
      </c>
      <c r="F547" t="str">
        <f>"8 RUE HENRI FEYTOU"</f>
        <v>8 RUE HENRI FEYTOU</v>
      </c>
      <c r="H547" t="str">
        <f>"24400"</f>
        <v>24400</v>
      </c>
      <c r="I547" t="str">
        <f>"ST MEDARD DE MUSSIDAN"</f>
        <v>ST MEDARD DE MUSSIDAN</v>
      </c>
      <c r="J547" t="str">
        <f>"05 53 02 06 20 "</f>
        <v xml:space="preserve">05 53 02 06 20 </v>
      </c>
      <c r="L547" s="1">
        <v>44531</v>
      </c>
      <c r="M547" t="str">
        <f t="shared" si="84"/>
        <v>124</v>
      </c>
      <c r="N547" t="str">
        <f t="shared" si="85"/>
        <v>Centre de Santé</v>
      </c>
      <c r="O547" t="str">
        <f>"02"</f>
        <v>02</v>
      </c>
      <c r="P547" t="str">
        <f>"Département"</f>
        <v>Département</v>
      </c>
      <c r="Q547" t="str">
        <f t="shared" si="88"/>
        <v>36</v>
      </c>
      <c r="R547" t="str">
        <f t="shared" si="89"/>
        <v>Tarifs conventionnels assurance maladie</v>
      </c>
      <c r="U547" t="str">
        <f>"240002006"</f>
        <v>240002006</v>
      </c>
    </row>
    <row r="548" spans="1:21" x14ac:dyDescent="0.3">
      <c r="A548" t="str">
        <f>"440059681"</f>
        <v>440059681</v>
      </c>
      <c r="B548" t="str">
        <f>"194 423 125 00021"</f>
        <v>194 423 125 00021</v>
      </c>
      <c r="D548" t="str">
        <f>"SERVICE MEDICAL DU CREPS PDL"</f>
        <v>SERVICE MEDICAL DU CREPS PDL</v>
      </c>
      <c r="F548" t="str">
        <f>"5 AVENUE DE LA BABINIERE"</f>
        <v>5 AVENUE DE LA BABINIERE</v>
      </c>
      <c r="H548" t="str">
        <f>"44240"</f>
        <v>44240</v>
      </c>
      <c r="I548" t="str">
        <f>"LA CHAPELLE SUR ERDRE"</f>
        <v>LA CHAPELLE SUR ERDRE</v>
      </c>
      <c r="J548" t="str">
        <f>"02 28 23 69 49 "</f>
        <v xml:space="preserve">02 28 23 69 49 </v>
      </c>
      <c r="L548" s="1">
        <v>44531</v>
      </c>
      <c r="M548" t="str">
        <f t="shared" si="84"/>
        <v>124</v>
      </c>
      <c r="N548" t="str">
        <f t="shared" si="85"/>
        <v>Centre de Santé</v>
      </c>
      <c r="O548" t="str">
        <f>"26"</f>
        <v>26</v>
      </c>
      <c r="P548" t="str">
        <f>"Autre Etablissement Public à Caractère Administratif"</f>
        <v>Autre Etablissement Public à Caractère Administratif</v>
      </c>
      <c r="Q548" t="str">
        <f t="shared" si="88"/>
        <v>36</v>
      </c>
      <c r="R548" t="str">
        <f t="shared" si="89"/>
        <v>Tarifs conventionnels assurance maladie</v>
      </c>
      <c r="U548" t="str">
        <f>"440059673"</f>
        <v>440059673</v>
      </c>
    </row>
    <row r="549" spans="1:21" x14ac:dyDescent="0.3">
      <c r="A549" t="str">
        <f>"750068520"</f>
        <v>750068520</v>
      </c>
      <c r="B549" t="str">
        <f>"901 218 750 00015"</f>
        <v>901 218 750 00015</v>
      </c>
      <c r="D549" t="str">
        <f>"CDS ACCESS RADIOLOGIE VAUGIRARD"</f>
        <v>CDS ACCESS RADIOLOGIE VAUGIRARD</v>
      </c>
      <c r="F549" t="str">
        <f>"375 RUE VAUGIRARD"</f>
        <v>375 RUE VAUGIRARD</v>
      </c>
      <c r="H549" t="str">
        <f>"75015"</f>
        <v>75015</v>
      </c>
      <c r="I549" t="str">
        <f>"PARIS"</f>
        <v>PARIS</v>
      </c>
      <c r="J549" t="str">
        <f>"01 89 16 76 90 "</f>
        <v xml:space="preserve">01 89 16 76 90 </v>
      </c>
      <c r="L549" s="1">
        <v>44531</v>
      </c>
      <c r="M549" t="str">
        <f t="shared" si="84"/>
        <v>124</v>
      </c>
      <c r="N549" t="str">
        <f t="shared" si="85"/>
        <v>Centre de Santé</v>
      </c>
      <c r="O549" t="str">
        <f>"60"</f>
        <v>60</v>
      </c>
      <c r="P549" t="str">
        <f>"Association Loi 1901 non Reconnue d'Utilité Publique"</f>
        <v>Association Loi 1901 non Reconnue d'Utilité Publique</v>
      </c>
      <c r="Q549" t="str">
        <f t="shared" si="88"/>
        <v>36</v>
      </c>
      <c r="R549" t="str">
        <f t="shared" si="89"/>
        <v>Tarifs conventionnels assurance maladie</v>
      </c>
      <c r="U549" t="str">
        <f>"750068512"</f>
        <v>750068512</v>
      </c>
    </row>
    <row r="550" spans="1:21" x14ac:dyDescent="0.3">
      <c r="A550" t="str">
        <f>"750068777"</f>
        <v>750068777</v>
      </c>
      <c r="B550" t="str">
        <f>"898 888 771 00018"</f>
        <v>898 888 771 00018</v>
      </c>
      <c r="D550" t="str">
        <f>"CDS DENTAIRE PARIS BICHAT"</f>
        <v>CDS DENTAIRE PARIS BICHAT</v>
      </c>
      <c r="F550" t="str">
        <f>"18 BOULEVARD BESSIERES"</f>
        <v>18 BOULEVARD BESSIERES</v>
      </c>
      <c r="H550" t="str">
        <f>"75017"</f>
        <v>75017</v>
      </c>
      <c r="I550" t="str">
        <f>"PARIS"</f>
        <v>PARIS</v>
      </c>
      <c r="J550" t="str">
        <f>"01 46 27 36 17 "</f>
        <v xml:space="preserve">01 46 27 36 17 </v>
      </c>
      <c r="L550" s="1">
        <v>44531</v>
      </c>
      <c r="M550" t="str">
        <f t="shared" si="84"/>
        <v>124</v>
      </c>
      <c r="N550" t="str">
        <f t="shared" si="85"/>
        <v>Centre de Santé</v>
      </c>
      <c r="O550" t="str">
        <f>"60"</f>
        <v>60</v>
      </c>
      <c r="P550" t="str">
        <f>"Association Loi 1901 non Reconnue d'Utilité Publique"</f>
        <v>Association Loi 1901 non Reconnue d'Utilité Publique</v>
      </c>
      <c r="Q550" t="str">
        <f t="shared" si="88"/>
        <v>36</v>
      </c>
      <c r="R550" t="str">
        <f t="shared" si="89"/>
        <v>Tarifs conventionnels assurance maladie</v>
      </c>
      <c r="U550" t="str">
        <f>"750068769"</f>
        <v>750068769</v>
      </c>
    </row>
    <row r="551" spans="1:21" x14ac:dyDescent="0.3">
      <c r="A551" t="str">
        <f>"770025567"</f>
        <v>770025567</v>
      </c>
      <c r="B551" t="str">
        <f>"893 630 707 00014"</f>
        <v>893 630 707 00014</v>
      </c>
      <c r="D551" t="str">
        <f>"CDS BUSSY"</f>
        <v>CDS BUSSY</v>
      </c>
      <c r="F551" t="str">
        <f>"12 RUE ROBERT SCHUMANN"</f>
        <v>12 RUE ROBERT SCHUMANN</v>
      </c>
      <c r="H551" t="str">
        <f>"77600"</f>
        <v>77600</v>
      </c>
      <c r="I551" t="str">
        <f>"BUSSY ST GEORGES"</f>
        <v>BUSSY ST GEORGES</v>
      </c>
      <c r="J551" t="str">
        <f>"06 15 01 53 87 "</f>
        <v xml:space="preserve">06 15 01 53 87 </v>
      </c>
      <c r="L551" s="1">
        <v>44531</v>
      </c>
      <c r="M551" t="str">
        <f t="shared" si="84"/>
        <v>124</v>
      </c>
      <c r="N551" t="str">
        <f t="shared" si="85"/>
        <v>Centre de Santé</v>
      </c>
      <c r="O551" t="str">
        <f>"60"</f>
        <v>60</v>
      </c>
      <c r="P551" t="str">
        <f>"Association Loi 1901 non Reconnue d'Utilité Publique"</f>
        <v>Association Loi 1901 non Reconnue d'Utilité Publique</v>
      </c>
      <c r="Q551" t="str">
        <f t="shared" si="88"/>
        <v>36</v>
      </c>
      <c r="R551" t="str">
        <f t="shared" si="89"/>
        <v>Tarifs conventionnels assurance maladie</v>
      </c>
      <c r="U551" t="str">
        <f>"770025559"</f>
        <v>770025559</v>
      </c>
    </row>
    <row r="552" spans="1:21" x14ac:dyDescent="0.3">
      <c r="A552" t="str">
        <f>"860015569"</f>
        <v>860015569</v>
      </c>
      <c r="B552" t="str">
        <f>"198 600 587 00010"</f>
        <v>198 600 587 00010</v>
      </c>
      <c r="D552" t="str">
        <f>"CDS CREPS DE POITIERS"</f>
        <v>CDS CREPS DE POITIERS</v>
      </c>
      <c r="F552" t="str">
        <f>"LIEU DIT CHATEAU DE BOIVRE"</f>
        <v>LIEU DIT CHATEAU DE BOIVRE</v>
      </c>
      <c r="H552" t="str">
        <f>"86580"</f>
        <v>86580</v>
      </c>
      <c r="I552" t="str">
        <f>"VOUNEUIL SOUS BIARD"</f>
        <v>VOUNEUIL SOUS BIARD</v>
      </c>
      <c r="J552" t="str">
        <f>"05 49 36 06 45 "</f>
        <v xml:space="preserve">05 49 36 06 45 </v>
      </c>
      <c r="L552" s="1">
        <v>44531</v>
      </c>
      <c r="M552" t="str">
        <f t="shared" si="84"/>
        <v>124</v>
      </c>
      <c r="N552" t="str">
        <f t="shared" si="85"/>
        <v>Centre de Santé</v>
      </c>
      <c r="O552" t="str">
        <f>"26"</f>
        <v>26</v>
      </c>
      <c r="P552" t="str">
        <f>"Autre Etablissement Public à Caractère Administratif"</f>
        <v>Autre Etablissement Public à Caractère Administratif</v>
      </c>
      <c r="Q552" t="str">
        <f t="shared" si="88"/>
        <v>36</v>
      </c>
      <c r="R552" t="str">
        <f t="shared" si="89"/>
        <v>Tarifs conventionnels assurance maladie</v>
      </c>
      <c r="U552" t="str">
        <f>"860015551"</f>
        <v>860015551</v>
      </c>
    </row>
    <row r="553" spans="1:21" x14ac:dyDescent="0.3">
      <c r="A553" t="str">
        <f>"920037900"</f>
        <v>920037900</v>
      </c>
      <c r="B553" t="str">
        <f>"903 034 320 00023"</f>
        <v>903 034 320 00023</v>
      </c>
      <c r="D553" t="str">
        <f>"CDS DENTAIRE DENTAPTE ANTONY"</f>
        <v>CDS DENTAIRE DENTAPTE ANTONY</v>
      </c>
      <c r="F553" t="str">
        <f>"17 AVENUE DE LA RESIDENCE"</f>
        <v>17 AVENUE DE LA RESIDENCE</v>
      </c>
      <c r="G553" t="str">
        <f>"1ER ETAGE"</f>
        <v>1ER ETAGE</v>
      </c>
      <c r="H553" t="str">
        <f>"92160"</f>
        <v>92160</v>
      </c>
      <c r="I553" t="str">
        <f>"ANTONY"</f>
        <v>ANTONY</v>
      </c>
      <c r="J553" t="str">
        <f>"01 86 70 86 07 "</f>
        <v xml:space="preserve">01 86 70 86 07 </v>
      </c>
      <c r="L553" s="1">
        <v>44531</v>
      </c>
      <c r="M553" t="str">
        <f t="shared" si="84"/>
        <v>124</v>
      </c>
      <c r="N553" t="str">
        <f t="shared" si="85"/>
        <v>Centre de Santé</v>
      </c>
      <c r="O553" t="str">
        <f>"60"</f>
        <v>60</v>
      </c>
      <c r="P553" t="str">
        <f>"Association Loi 1901 non Reconnue d'Utilité Publique"</f>
        <v>Association Loi 1901 non Reconnue d'Utilité Publique</v>
      </c>
      <c r="Q553" t="str">
        <f t="shared" si="88"/>
        <v>36</v>
      </c>
      <c r="R553" t="str">
        <f t="shared" si="89"/>
        <v>Tarifs conventionnels assurance maladie</v>
      </c>
      <c r="U553" t="str">
        <f>"920039328"</f>
        <v>920039328</v>
      </c>
    </row>
    <row r="554" spans="1:21" x14ac:dyDescent="0.3">
      <c r="A554" t="str">
        <f>"950046151"</f>
        <v>950046151</v>
      </c>
      <c r="B554" t="str">
        <f>"902 835 305 00019"</f>
        <v>902 835 305 00019</v>
      </c>
      <c r="D554" t="str">
        <f>"CDS DENTAIRE D EAUBONNE"</f>
        <v>CDS DENTAIRE D EAUBONNE</v>
      </c>
      <c r="F554" t="str">
        <f>"7 RUE DES TILLEULS"</f>
        <v>7 RUE DES TILLEULS</v>
      </c>
      <c r="H554" t="str">
        <f>"95600"</f>
        <v>95600</v>
      </c>
      <c r="I554" t="str">
        <f>"EAUBONNE"</f>
        <v>EAUBONNE</v>
      </c>
      <c r="J554" t="str">
        <f>"07 86 11 32 00 "</f>
        <v xml:space="preserve">07 86 11 32 00 </v>
      </c>
      <c r="L554" s="1">
        <v>44531</v>
      </c>
      <c r="M554" t="str">
        <f t="shared" si="84"/>
        <v>124</v>
      </c>
      <c r="N554" t="str">
        <f t="shared" si="85"/>
        <v>Centre de Santé</v>
      </c>
      <c r="O554" t="str">
        <f>"60"</f>
        <v>60</v>
      </c>
      <c r="P554" t="str">
        <f>"Association Loi 1901 non Reconnue d'Utilité Publique"</f>
        <v>Association Loi 1901 non Reconnue d'Utilité Publique</v>
      </c>
      <c r="Q554" t="str">
        <f t="shared" si="88"/>
        <v>36</v>
      </c>
      <c r="R554" t="str">
        <f t="shared" si="89"/>
        <v>Tarifs conventionnels assurance maladie</v>
      </c>
      <c r="U554" t="str">
        <f>"950046144"</f>
        <v>950046144</v>
      </c>
    </row>
    <row r="555" spans="1:21" x14ac:dyDescent="0.3">
      <c r="A555" t="str">
        <f>"970407243"</f>
        <v>970407243</v>
      </c>
      <c r="D555" t="str">
        <f>"CENTRE DE SANTÉ LES LILAS"</f>
        <v>CENTRE DE SANTÉ LES LILAS</v>
      </c>
      <c r="F555" t="str">
        <f>"19 RUE LUCIEN DUCHEMANN"</f>
        <v>19 RUE LUCIEN DUCHEMANN</v>
      </c>
      <c r="G555" t="str">
        <f>"BAT. 8 - LES GIROFLES"</f>
        <v>BAT. 8 - LES GIROFLES</v>
      </c>
      <c r="H555" t="str">
        <f>"97470"</f>
        <v>97470</v>
      </c>
      <c r="I555" t="str">
        <f>"ST BENOIT"</f>
        <v>ST BENOIT</v>
      </c>
      <c r="J555" t="str">
        <f>"02 62 21 28 15 "</f>
        <v xml:space="preserve">02 62 21 28 15 </v>
      </c>
      <c r="K555" t="str">
        <f>"02 62 21 26 09"</f>
        <v>02 62 21 26 09</v>
      </c>
      <c r="L555" s="1">
        <v>44530</v>
      </c>
      <c r="M555" t="str">
        <f t="shared" si="84"/>
        <v>124</v>
      </c>
      <c r="N555" t="str">
        <f t="shared" si="85"/>
        <v>Centre de Santé</v>
      </c>
      <c r="O555" t="str">
        <f>"60"</f>
        <v>60</v>
      </c>
      <c r="P555" t="str">
        <f>"Association Loi 1901 non Reconnue d'Utilité Publique"</f>
        <v>Association Loi 1901 non Reconnue d'Utilité Publique</v>
      </c>
      <c r="Q555" t="str">
        <f t="shared" si="88"/>
        <v>36</v>
      </c>
      <c r="R555" t="str">
        <f t="shared" si="89"/>
        <v>Tarifs conventionnels assurance maladie</v>
      </c>
      <c r="U555" t="str">
        <f>"970412318"</f>
        <v>970412318</v>
      </c>
    </row>
    <row r="556" spans="1:21" x14ac:dyDescent="0.3">
      <c r="A556" t="str">
        <f>"340029198"</f>
        <v>340029198</v>
      </c>
      <c r="B556" t="str">
        <f>"891 504 722 00010"</f>
        <v>891 504 722 00010</v>
      </c>
      <c r="D556" t="str">
        <f>"CENTRE DE SANTÉ CLINADENT MONTPELLIER"</f>
        <v>CENTRE DE SANTÉ CLINADENT MONTPELLIER</v>
      </c>
      <c r="F556" t="str">
        <f>"43 BOULEVARD DU JEU DE PAUME"</f>
        <v>43 BOULEVARD DU JEU DE PAUME</v>
      </c>
      <c r="H556" t="str">
        <f>"34000"</f>
        <v>34000</v>
      </c>
      <c r="I556" t="str">
        <f>"MONTPELLIER"</f>
        <v>MONTPELLIER</v>
      </c>
      <c r="J556" t="str">
        <f>"06 13 13 76 84 "</f>
        <v xml:space="preserve">06 13 13 76 84 </v>
      </c>
      <c r="L556" s="1">
        <v>44529</v>
      </c>
      <c r="M556" t="str">
        <f t="shared" si="84"/>
        <v>124</v>
      </c>
      <c r="N556" t="str">
        <f t="shared" si="85"/>
        <v>Centre de Santé</v>
      </c>
      <c r="O556" t="str">
        <f>"60"</f>
        <v>60</v>
      </c>
      <c r="P556" t="str">
        <f>"Association Loi 1901 non Reconnue d'Utilité Publique"</f>
        <v>Association Loi 1901 non Reconnue d'Utilité Publique</v>
      </c>
      <c r="Q556" t="str">
        <f t="shared" si="88"/>
        <v>36</v>
      </c>
      <c r="R556" t="str">
        <f t="shared" si="89"/>
        <v>Tarifs conventionnels assurance maladie</v>
      </c>
      <c r="U556" t="str">
        <f>"340029180"</f>
        <v>340029180</v>
      </c>
    </row>
    <row r="557" spans="1:21" x14ac:dyDescent="0.3">
      <c r="A557" t="str">
        <f>"750068934"</f>
        <v>750068934</v>
      </c>
      <c r="B557" t="str">
        <f>"900 745 621 00012"</f>
        <v>900 745 621 00012</v>
      </c>
      <c r="D557" t="str">
        <f>"CDS OPHTALMIQUE JOUFFROY D ABBANS"</f>
        <v>CDS OPHTALMIQUE JOUFFROY D ABBANS</v>
      </c>
      <c r="F557" t="str">
        <f>"78 RUE JOUFFROY D ABBANS"</f>
        <v>78 RUE JOUFFROY D ABBANS</v>
      </c>
      <c r="H557" t="str">
        <f>"75017"</f>
        <v>75017</v>
      </c>
      <c r="I557" t="str">
        <f>"PARIS"</f>
        <v>PARIS</v>
      </c>
      <c r="J557" t="str">
        <f>"06 99 02 13 71 "</f>
        <v xml:space="preserve">06 99 02 13 71 </v>
      </c>
      <c r="L557" s="1">
        <v>44526</v>
      </c>
      <c r="M557" t="str">
        <f t="shared" si="84"/>
        <v>124</v>
      </c>
      <c r="N557" t="str">
        <f t="shared" si="85"/>
        <v>Centre de Santé</v>
      </c>
      <c r="O557" t="str">
        <f>"60"</f>
        <v>60</v>
      </c>
      <c r="P557" t="str">
        <f>"Association Loi 1901 non Reconnue d'Utilité Publique"</f>
        <v>Association Loi 1901 non Reconnue d'Utilité Publique</v>
      </c>
      <c r="Q557" t="str">
        <f t="shared" si="88"/>
        <v>36</v>
      </c>
      <c r="R557" t="str">
        <f t="shared" si="89"/>
        <v>Tarifs conventionnels assurance maladie</v>
      </c>
      <c r="U557" t="str">
        <f>"750068926"</f>
        <v>750068926</v>
      </c>
    </row>
    <row r="558" spans="1:21" x14ac:dyDescent="0.3">
      <c r="A558" t="str">
        <f>"850029463"</f>
        <v>850029463</v>
      </c>
      <c r="B558" t="str">
        <f>"844 881 417 01611"</f>
        <v>844 881 417 01611</v>
      </c>
      <c r="D558" t="str">
        <f>"VYV DENTAIRE - CLINIQUE SUD VENDÉE"</f>
        <v>VYV DENTAIRE - CLINIQUE SUD VENDÉE</v>
      </c>
      <c r="F558" t="str">
        <f>"17 RUE DU DOCTEUR FLEURANCE"</f>
        <v>17 RUE DU DOCTEUR FLEURANCE</v>
      </c>
      <c r="H558" t="str">
        <f>"85200"</f>
        <v>85200</v>
      </c>
      <c r="I558" t="str">
        <f>"FONTENAY LE COMTE"</f>
        <v>FONTENAY LE COMTE</v>
      </c>
      <c r="L558" s="1">
        <v>44525</v>
      </c>
      <c r="M558" t="str">
        <f t="shared" si="84"/>
        <v>124</v>
      </c>
      <c r="N558" t="str">
        <f t="shared" si="85"/>
        <v>Centre de Santé</v>
      </c>
      <c r="O558" t="str">
        <f>"47"</f>
        <v>47</v>
      </c>
      <c r="P558" t="str">
        <f>"Société Mutualiste"</f>
        <v>Société Mutualiste</v>
      </c>
      <c r="Q558" t="str">
        <f t="shared" si="88"/>
        <v>36</v>
      </c>
      <c r="R558" t="str">
        <f t="shared" si="89"/>
        <v>Tarifs conventionnels assurance maladie</v>
      </c>
      <c r="U558" t="str">
        <f>"850028085"</f>
        <v>850028085</v>
      </c>
    </row>
    <row r="559" spans="1:21" x14ac:dyDescent="0.3">
      <c r="A559" t="str">
        <f>"270030000"</f>
        <v>270030000</v>
      </c>
      <c r="B559" t="str">
        <f>"888 226 487 00021"</f>
        <v>888 226 487 00021</v>
      </c>
      <c r="D559" t="str">
        <f>"CENTRE DENT ET VIE EVREUX"</f>
        <v>CENTRE DENT ET VIE EVREUX</v>
      </c>
      <c r="F559" t="str">
        <f>"79 RUE DE PANETTE"</f>
        <v>79 RUE DE PANETTE</v>
      </c>
      <c r="H559" t="str">
        <f>"27000"</f>
        <v>27000</v>
      </c>
      <c r="I559" t="str">
        <f>"EVREUX"</f>
        <v>EVREUX</v>
      </c>
      <c r="J559" t="str">
        <f>"06 10 10 37 87 "</f>
        <v xml:space="preserve">06 10 10 37 87 </v>
      </c>
      <c r="L559" s="1">
        <v>44522</v>
      </c>
      <c r="M559" t="str">
        <f t="shared" si="84"/>
        <v>124</v>
      </c>
      <c r="N559" t="str">
        <f t="shared" si="85"/>
        <v>Centre de Santé</v>
      </c>
      <c r="O559" t="str">
        <f>"60"</f>
        <v>60</v>
      </c>
      <c r="P559" t="str">
        <f>"Association Loi 1901 non Reconnue d'Utilité Publique"</f>
        <v>Association Loi 1901 non Reconnue d'Utilité Publique</v>
      </c>
      <c r="Q559" t="str">
        <f t="shared" si="88"/>
        <v>36</v>
      </c>
      <c r="R559" t="str">
        <f t="shared" si="89"/>
        <v>Tarifs conventionnels assurance maladie</v>
      </c>
      <c r="U559" t="str">
        <f>"750067894"</f>
        <v>750067894</v>
      </c>
    </row>
    <row r="560" spans="1:21" x14ac:dyDescent="0.3">
      <c r="A560" t="str">
        <f>"310033279"</f>
        <v>310033279</v>
      </c>
      <c r="B560" t="str">
        <f>"891 439 333 00016"</f>
        <v>891 439 333 00016</v>
      </c>
      <c r="D560" t="str">
        <f>"CENTRE CLINADENT TOULOUSE"</f>
        <v>CENTRE CLINADENT TOULOUSE</v>
      </c>
      <c r="F560" t="str">
        <f>"80 ALLEE JEAN JAURES"</f>
        <v>80 ALLEE JEAN JAURES</v>
      </c>
      <c r="H560" t="str">
        <f>"31000"</f>
        <v>31000</v>
      </c>
      <c r="I560" t="str">
        <f>"TOULOUSE"</f>
        <v>TOULOUSE</v>
      </c>
      <c r="J560" t="str">
        <f>"06 13 13 76 84 "</f>
        <v xml:space="preserve">06 13 13 76 84 </v>
      </c>
      <c r="L560" s="1">
        <v>44522</v>
      </c>
      <c r="M560" t="str">
        <f t="shared" si="84"/>
        <v>124</v>
      </c>
      <c r="N560" t="str">
        <f t="shared" si="85"/>
        <v>Centre de Santé</v>
      </c>
      <c r="O560" t="str">
        <f>"60"</f>
        <v>60</v>
      </c>
      <c r="P560" t="str">
        <f>"Association Loi 1901 non Reconnue d'Utilité Publique"</f>
        <v>Association Loi 1901 non Reconnue d'Utilité Publique</v>
      </c>
      <c r="Q560" t="str">
        <f t="shared" si="88"/>
        <v>36</v>
      </c>
      <c r="R560" t="str">
        <f t="shared" si="89"/>
        <v>Tarifs conventionnels assurance maladie</v>
      </c>
      <c r="U560" t="str">
        <f>"310033261"</f>
        <v>310033261</v>
      </c>
    </row>
    <row r="561" spans="1:21" x14ac:dyDescent="0.3">
      <c r="A561" t="str">
        <f>"310033840"</f>
        <v>310033840</v>
      </c>
      <c r="B561" t="str">
        <f>"892 755 547 00015"</f>
        <v>892 755 547 00015</v>
      </c>
      <c r="D561" t="str">
        <f>"CTRE MEDICAL DENTAIRE OPHTALMO BAYARD"</f>
        <v>CTRE MEDICAL DENTAIRE OPHTALMO BAYARD</v>
      </c>
      <c r="F561" t="str">
        <f>"19 RUE DE BAYARD"</f>
        <v>19 RUE DE BAYARD</v>
      </c>
      <c r="H561" t="str">
        <f>"31000"</f>
        <v>31000</v>
      </c>
      <c r="I561" t="str">
        <f>"TOULOUSE"</f>
        <v>TOULOUSE</v>
      </c>
      <c r="J561" t="str">
        <f>"05 32 26 16 55 "</f>
        <v xml:space="preserve">05 32 26 16 55 </v>
      </c>
      <c r="L561" s="1">
        <v>44522</v>
      </c>
      <c r="M561" t="str">
        <f t="shared" si="84"/>
        <v>124</v>
      </c>
      <c r="N561" t="str">
        <f t="shared" si="85"/>
        <v>Centre de Santé</v>
      </c>
      <c r="O561" t="str">
        <f>"60"</f>
        <v>60</v>
      </c>
      <c r="P561" t="str">
        <f>"Association Loi 1901 non Reconnue d'Utilité Publique"</f>
        <v>Association Loi 1901 non Reconnue d'Utilité Publique</v>
      </c>
      <c r="Q561" t="str">
        <f t="shared" si="88"/>
        <v>36</v>
      </c>
      <c r="R561" t="str">
        <f t="shared" si="89"/>
        <v>Tarifs conventionnels assurance maladie</v>
      </c>
      <c r="U561" t="str">
        <f>"310033832"</f>
        <v>310033832</v>
      </c>
    </row>
    <row r="562" spans="1:21" x14ac:dyDescent="0.3">
      <c r="A562" t="str">
        <f>"500024849"</f>
        <v>500024849</v>
      </c>
      <c r="B562" t="str">
        <f>"215 002 569 00014"</f>
        <v>215 002 569 00014</v>
      </c>
      <c r="D562" t="str">
        <f>"CENTRE MUNICIPAL DE SANTE D'ISIGNY"</f>
        <v>CENTRE MUNICIPAL DE SANTE D'ISIGNY</v>
      </c>
      <c r="F562" t="str">
        <f>"13 RESIDENCE 2000"</f>
        <v>13 RESIDENCE 2000</v>
      </c>
      <c r="H562" t="str">
        <f>"50540"</f>
        <v>50540</v>
      </c>
      <c r="I562" t="str">
        <f>"ISIGNY LE BUAT"</f>
        <v>ISIGNY LE BUAT</v>
      </c>
      <c r="J562" t="str">
        <f>"02 61 69 00 28 "</f>
        <v xml:space="preserve">02 61 69 00 28 </v>
      </c>
      <c r="L562" s="1">
        <v>44522</v>
      </c>
      <c r="M562" t="str">
        <f t="shared" si="84"/>
        <v>124</v>
      </c>
      <c r="N562" t="str">
        <f t="shared" si="85"/>
        <v>Centre de Santé</v>
      </c>
      <c r="O562" t="str">
        <f>"03"</f>
        <v>03</v>
      </c>
      <c r="P562" t="str">
        <f>"Commune"</f>
        <v>Commune</v>
      </c>
      <c r="Q562" t="str">
        <f t="shared" si="88"/>
        <v>36</v>
      </c>
      <c r="R562" t="str">
        <f t="shared" si="89"/>
        <v>Tarifs conventionnels assurance maladie</v>
      </c>
      <c r="U562" t="str">
        <f>"500024831"</f>
        <v>500024831</v>
      </c>
    </row>
    <row r="563" spans="1:21" x14ac:dyDescent="0.3">
      <c r="A563" t="str">
        <f>"140033325"</f>
        <v>140033325</v>
      </c>
      <c r="B563" t="str">
        <f>"892 202 755 00021"</f>
        <v>892 202 755 00021</v>
      </c>
      <c r="D563" t="str">
        <f>"CENTRE DENTAIRE HÉROUVILLE- CAVÉE"</f>
        <v>CENTRE DENTAIRE HÉROUVILLE- CAVÉE</v>
      </c>
      <c r="F563" t="str">
        <f>"1 AVENUE DE LA GRANDE CAVÉE"</f>
        <v>1 AVENUE DE LA GRANDE CAVÉE</v>
      </c>
      <c r="H563" t="str">
        <f>"14200"</f>
        <v>14200</v>
      </c>
      <c r="I563" t="str">
        <f>"HEROUVILLE ST CLAIR"</f>
        <v>HEROUVILLE ST CLAIR</v>
      </c>
      <c r="J563" t="str">
        <f>"02 30 32 14 15 "</f>
        <v xml:space="preserve">02 30 32 14 15 </v>
      </c>
      <c r="L563" s="1">
        <v>44515</v>
      </c>
      <c r="M563" t="str">
        <f t="shared" si="84"/>
        <v>124</v>
      </c>
      <c r="N563" t="str">
        <f t="shared" si="85"/>
        <v>Centre de Santé</v>
      </c>
      <c r="O563" t="str">
        <f>"60"</f>
        <v>60</v>
      </c>
      <c r="P563" t="str">
        <f>"Association Loi 1901 non Reconnue d'Utilité Publique"</f>
        <v>Association Loi 1901 non Reconnue d'Utilité Publique</v>
      </c>
      <c r="Q563" t="str">
        <f t="shared" si="88"/>
        <v>36</v>
      </c>
      <c r="R563" t="str">
        <f t="shared" si="89"/>
        <v>Tarifs conventionnels assurance maladie</v>
      </c>
      <c r="U563" t="str">
        <f>"140033770"</f>
        <v>140033770</v>
      </c>
    </row>
    <row r="564" spans="1:21" x14ac:dyDescent="0.3">
      <c r="A564" t="str">
        <f>"160017331"</f>
        <v>160017331</v>
      </c>
      <c r="B564" t="str">
        <f>"221 600 018 00917"</f>
        <v>221 600 018 00917</v>
      </c>
      <c r="D564" t="str">
        <f>"CDS POLYVALENT BEL AIR GRAND FONT"</f>
        <v>CDS POLYVALENT BEL AIR GRAND FONT</v>
      </c>
      <c r="F564" t="str">
        <f>"RUE DE LA TOUR D'AUVERGNE"</f>
        <v>RUE DE LA TOUR D'AUVERGNE</v>
      </c>
      <c r="H564" t="str">
        <f>"16000"</f>
        <v>16000</v>
      </c>
      <c r="I564" t="str">
        <f>"ANGOULEME"</f>
        <v>ANGOULEME</v>
      </c>
      <c r="L564" s="1">
        <v>44515</v>
      </c>
      <c r="M564" t="str">
        <f t="shared" si="84"/>
        <v>124</v>
      </c>
      <c r="N564" t="str">
        <f t="shared" si="85"/>
        <v>Centre de Santé</v>
      </c>
      <c r="O564" t="str">
        <f>"02"</f>
        <v>02</v>
      </c>
      <c r="P564" t="str">
        <f>"Département"</f>
        <v>Département</v>
      </c>
      <c r="Q564" t="str">
        <f t="shared" si="88"/>
        <v>36</v>
      </c>
      <c r="R564" t="str">
        <f t="shared" si="89"/>
        <v>Tarifs conventionnels assurance maladie</v>
      </c>
      <c r="U564" t="str">
        <f>"160007373"</f>
        <v>160007373</v>
      </c>
    </row>
    <row r="565" spans="1:21" x14ac:dyDescent="0.3">
      <c r="A565" t="str">
        <f>"440059756"</f>
        <v>440059756</v>
      </c>
      <c r="D565" t="str">
        <f>"CENTRE DE SANTE AQODI NANTES"</f>
        <v>CENTRE DE SANTE AQODI NANTES</v>
      </c>
      <c r="F565" t="str">
        <f>"53 AVENUE DE LA LIBERATION"</f>
        <v>53 AVENUE DE LA LIBERATION</v>
      </c>
      <c r="H565" t="str">
        <f>"44400"</f>
        <v>44400</v>
      </c>
      <c r="I565" t="str">
        <f>"REZE"</f>
        <v>REZE</v>
      </c>
      <c r="L565" s="1">
        <v>44515</v>
      </c>
      <c r="M565" t="str">
        <f t="shared" si="84"/>
        <v>124</v>
      </c>
      <c r="N565" t="str">
        <f t="shared" si="85"/>
        <v>Centre de Santé</v>
      </c>
      <c r="O565" t="str">
        <f>"60"</f>
        <v>60</v>
      </c>
      <c r="P565" t="str">
        <f>"Association Loi 1901 non Reconnue d'Utilité Publique"</f>
        <v>Association Loi 1901 non Reconnue d'Utilité Publique</v>
      </c>
      <c r="Q565" t="str">
        <f t="shared" si="88"/>
        <v>36</v>
      </c>
      <c r="R565" t="str">
        <f t="shared" si="89"/>
        <v>Tarifs conventionnels assurance maladie</v>
      </c>
      <c r="U565" t="str">
        <f>"750067324"</f>
        <v>750067324</v>
      </c>
    </row>
    <row r="566" spans="1:21" x14ac:dyDescent="0.3">
      <c r="A566" t="str">
        <f>"630015543"</f>
        <v>630015543</v>
      </c>
      <c r="D566" t="str">
        <f>"CENTRE DE SANTE FONTAINE DU BAC"</f>
        <v>CENTRE DE SANTE FONTAINE DU BAC</v>
      </c>
      <c r="E566" t="str">
        <f>"CENTRE COMMERCIAL LA GANTIERE"</f>
        <v>CENTRE COMMERCIAL LA GANTIERE</v>
      </c>
      <c r="F566" t="str">
        <f>"RUE DE LA FONTAINE DU BAC"</f>
        <v>RUE DE LA FONTAINE DU BAC</v>
      </c>
      <c r="H566" t="str">
        <f>"63000"</f>
        <v>63000</v>
      </c>
      <c r="I566" t="str">
        <f>"CLERMONT FERRAND"</f>
        <v>CLERMONT FERRAND</v>
      </c>
      <c r="J566" t="str">
        <f>"04 28 00 63 63 "</f>
        <v xml:space="preserve">04 28 00 63 63 </v>
      </c>
      <c r="L566" s="1">
        <v>44515</v>
      </c>
      <c r="M566" t="str">
        <f t="shared" si="84"/>
        <v>124</v>
      </c>
      <c r="N566" t="str">
        <f t="shared" si="85"/>
        <v>Centre de Santé</v>
      </c>
      <c r="O566" t="str">
        <f>"02"</f>
        <v>02</v>
      </c>
      <c r="P566" t="str">
        <f>"Département"</f>
        <v>Département</v>
      </c>
      <c r="Q566" t="str">
        <f t="shared" si="88"/>
        <v>36</v>
      </c>
      <c r="R566" t="str">
        <f t="shared" si="89"/>
        <v>Tarifs conventionnels assurance maladie</v>
      </c>
      <c r="U566" t="str">
        <f>"630788040"</f>
        <v>630788040</v>
      </c>
    </row>
    <row r="567" spans="1:21" x14ac:dyDescent="0.3">
      <c r="A567" t="str">
        <f>"750068793"</f>
        <v>750068793</v>
      </c>
      <c r="B567" t="str">
        <f>"901 955 823 00017"</f>
        <v>901 955 823 00017</v>
      </c>
      <c r="D567" t="str">
        <f>"CDS DENTAIRE REPUBLIQUE PARMENTIER"</f>
        <v>CDS DENTAIRE REPUBLIQUE PARMENTIER</v>
      </c>
      <c r="F567" t="str">
        <f>"62 AVENUE DE LA REPUBLIQUE"</f>
        <v>62 AVENUE DE LA REPUBLIQUE</v>
      </c>
      <c r="H567" t="str">
        <f>"75011"</f>
        <v>75011</v>
      </c>
      <c r="I567" t="str">
        <f>"PARIS"</f>
        <v>PARIS</v>
      </c>
      <c r="J567" t="str">
        <f>"01 88 40 62 77 "</f>
        <v xml:space="preserve">01 88 40 62 77 </v>
      </c>
      <c r="L567" s="1">
        <v>44515</v>
      </c>
      <c r="M567" t="str">
        <f t="shared" si="84"/>
        <v>124</v>
      </c>
      <c r="N567" t="str">
        <f t="shared" si="85"/>
        <v>Centre de Santé</v>
      </c>
      <c r="O567" t="str">
        <f>"60"</f>
        <v>60</v>
      </c>
      <c r="P567" t="str">
        <f>"Association Loi 1901 non Reconnue d'Utilité Publique"</f>
        <v>Association Loi 1901 non Reconnue d'Utilité Publique</v>
      </c>
      <c r="Q567" t="str">
        <f t="shared" si="88"/>
        <v>36</v>
      </c>
      <c r="R567" t="str">
        <f t="shared" si="89"/>
        <v>Tarifs conventionnels assurance maladie</v>
      </c>
      <c r="U567" t="str">
        <f>"750068785"</f>
        <v>750068785</v>
      </c>
    </row>
    <row r="568" spans="1:21" x14ac:dyDescent="0.3">
      <c r="A568" t="str">
        <f>"060030707"</f>
        <v>060030707</v>
      </c>
      <c r="B568" t="str">
        <f>"883 647 414 00019"</f>
        <v>883 647 414 00019</v>
      </c>
      <c r="D568" t="str">
        <f>"CENTRE OPHTALMOLOGIQUE ET DENTAIRE NIC"</f>
        <v>CENTRE OPHTALMOLOGIQUE ET DENTAIRE NIC</v>
      </c>
      <c r="F568" t="str">
        <f>"12 BOULEVARD PIERRE SOLA"</f>
        <v>12 BOULEVARD PIERRE SOLA</v>
      </c>
      <c r="H568" t="str">
        <f>"06300"</f>
        <v>06300</v>
      </c>
      <c r="I568" t="str">
        <f>"NICE"</f>
        <v>NICE</v>
      </c>
      <c r="L568" s="1">
        <v>44508</v>
      </c>
      <c r="M568" t="str">
        <f t="shared" si="84"/>
        <v>124</v>
      </c>
      <c r="N568" t="str">
        <f t="shared" si="85"/>
        <v>Centre de Santé</v>
      </c>
      <c r="O568" t="str">
        <f>"60"</f>
        <v>60</v>
      </c>
      <c r="P568" t="str">
        <f>"Association Loi 1901 non Reconnue d'Utilité Publique"</f>
        <v>Association Loi 1901 non Reconnue d'Utilité Publique</v>
      </c>
      <c r="Q568" t="str">
        <f t="shared" si="88"/>
        <v>36</v>
      </c>
      <c r="R568" t="str">
        <f t="shared" si="89"/>
        <v>Tarifs conventionnels assurance maladie</v>
      </c>
      <c r="U568" t="str">
        <f>"060030699"</f>
        <v>060030699</v>
      </c>
    </row>
    <row r="569" spans="1:21" x14ac:dyDescent="0.3">
      <c r="A569" t="str">
        <f>"130051766"</f>
        <v>130051766</v>
      </c>
      <c r="B569" t="str">
        <f>"891 160 707 00016"</f>
        <v>891 160 707 00016</v>
      </c>
      <c r="D569" t="str">
        <f>"CDS MEDICO-DENTAIRE DES CHARTREUX"</f>
        <v>CDS MEDICO-DENTAIRE DES CHARTREUX</v>
      </c>
      <c r="F569" t="str">
        <f>"23 AVENUE DES CHARTREUX"</f>
        <v>23 AVENUE DES CHARTREUX</v>
      </c>
      <c r="H569" t="str">
        <f>"13004"</f>
        <v>13004</v>
      </c>
      <c r="I569" t="str">
        <f>"MARSEILLE"</f>
        <v>MARSEILLE</v>
      </c>
      <c r="J569" t="str">
        <f>"06 09 64 14 36 "</f>
        <v xml:space="preserve">06 09 64 14 36 </v>
      </c>
      <c r="L569" s="1">
        <v>44508</v>
      </c>
      <c r="M569" t="str">
        <f t="shared" si="84"/>
        <v>124</v>
      </c>
      <c r="N569" t="str">
        <f t="shared" si="85"/>
        <v>Centre de Santé</v>
      </c>
      <c r="O569" t="str">
        <f>"61"</f>
        <v>61</v>
      </c>
      <c r="P569" t="str">
        <f>"Association Loi 1901 Reconnue d'Utilité Publique"</f>
        <v>Association Loi 1901 Reconnue d'Utilité Publique</v>
      </c>
      <c r="Q569" t="str">
        <f t="shared" si="88"/>
        <v>36</v>
      </c>
      <c r="R569" t="str">
        <f t="shared" si="89"/>
        <v>Tarifs conventionnels assurance maladie</v>
      </c>
      <c r="U569" t="str">
        <f>"130051758"</f>
        <v>130051758</v>
      </c>
    </row>
    <row r="570" spans="1:21" x14ac:dyDescent="0.3">
      <c r="A570" t="str">
        <f>"750068504"</f>
        <v>750068504</v>
      </c>
      <c r="B570" t="str">
        <f>"841 163 629 00022"</f>
        <v>841 163 629 00022</v>
      </c>
      <c r="D570" t="str">
        <f>"CDS MEDIKSANTE SEBASTOPOL"</f>
        <v>CDS MEDIKSANTE SEBASTOPOL</v>
      </c>
      <c r="F570" t="str">
        <f>"139 BOULEVARD DE SEBASTOPOL"</f>
        <v>139 BOULEVARD DE SEBASTOPOL</v>
      </c>
      <c r="H570" t="str">
        <f>"75002"</f>
        <v>75002</v>
      </c>
      <c r="I570" t="str">
        <f>"PARIS"</f>
        <v>PARIS</v>
      </c>
      <c r="J570" t="str">
        <f>"07 52 57 50 10 "</f>
        <v xml:space="preserve">07 52 57 50 10 </v>
      </c>
      <c r="L570" s="1">
        <v>44508</v>
      </c>
      <c r="M570" t="str">
        <f t="shared" si="84"/>
        <v>124</v>
      </c>
      <c r="N570" t="str">
        <f t="shared" si="85"/>
        <v>Centre de Santé</v>
      </c>
      <c r="O570" t="str">
        <f>"60"</f>
        <v>60</v>
      </c>
      <c r="P570" t="str">
        <f>"Association Loi 1901 non Reconnue d'Utilité Publique"</f>
        <v>Association Loi 1901 non Reconnue d'Utilité Publique</v>
      </c>
      <c r="Q570" t="str">
        <f t="shared" si="88"/>
        <v>36</v>
      </c>
      <c r="R570" t="str">
        <f t="shared" si="89"/>
        <v>Tarifs conventionnels assurance maladie</v>
      </c>
      <c r="U570" t="str">
        <f>"750062069"</f>
        <v>750062069</v>
      </c>
    </row>
    <row r="571" spans="1:21" x14ac:dyDescent="0.3">
      <c r="A571" t="str">
        <f>"750068751"</f>
        <v>750068751</v>
      </c>
      <c r="B571" t="str">
        <f>"901 677 484 00015"</f>
        <v>901 677 484 00015</v>
      </c>
      <c r="D571" t="str">
        <f>"CDS DENTAIRE VAUGIRARD"</f>
        <v>CDS DENTAIRE VAUGIRARD</v>
      </c>
      <c r="F571" t="str">
        <f>"313 RUE VAUGIRARD"</f>
        <v>313 RUE VAUGIRARD</v>
      </c>
      <c r="H571" t="str">
        <f>"75015"</f>
        <v>75015</v>
      </c>
      <c r="I571" t="str">
        <f>"PARIS"</f>
        <v>PARIS</v>
      </c>
      <c r="J571" t="str">
        <f>"06 29 76 60 55 "</f>
        <v xml:space="preserve">06 29 76 60 55 </v>
      </c>
      <c r="L571" s="1">
        <v>44508</v>
      </c>
      <c r="M571" t="str">
        <f t="shared" si="84"/>
        <v>124</v>
      </c>
      <c r="N571" t="str">
        <f t="shared" si="85"/>
        <v>Centre de Santé</v>
      </c>
      <c r="O571" t="str">
        <f>"60"</f>
        <v>60</v>
      </c>
      <c r="P571" t="str">
        <f>"Association Loi 1901 non Reconnue d'Utilité Publique"</f>
        <v>Association Loi 1901 non Reconnue d'Utilité Publique</v>
      </c>
      <c r="Q571" t="str">
        <f t="shared" si="88"/>
        <v>36</v>
      </c>
      <c r="R571" t="str">
        <f t="shared" si="89"/>
        <v>Tarifs conventionnels assurance maladie</v>
      </c>
      <c r="U571" t="str">
        <f>"750068744"</f>
        <v>750068744</v>
      </c>
    </row>
    <row r="572" spans="1:21" x14ac:dyDescent="0.3">
      <c r="A572" t="str">
        <f>"940028707"</f>
        <v>940028707</v>
      </c>
      <c r="B572" t="str">
        <f>"900 207 465 00015"</f>
        <v>900 207 465 00015</v>
      </c>
      <c r="D572" t="str">
        <f>"CDS AVERROES CENTRE MEDICAL POLYVALENT"</f>
        <v>CDS AVERROES CENTRE MEDICAL POLYVALENT</v>
      </c>
      <c r="E572" t="str">
        <f>"125-129"</f>
        <v>125-129</v>
      </c>
      <c r="F572" t="str">
        <f>"125 AVENUE DE VERDUN"</f>
        <v>125 AVENUE DE VERDUN</v>
      </c>
      <c r="H572" t="str">
        <f>"94200"</f>
        <v>94200</v>
      </c>
      <c r="I572" t="str">
        <f>"IVRY SUR SEINE"</f>
        <v>IVRY SUR SEINE</v>
      </c>
      <c r="J572" t="str">
        <f>"01 87 58 11 11 "</f>
        <v xml:space="preserve">01 87 58 11 11 </v>
      </c>
      <c r="L572" s="1">
        <v>44508</v>
      </c>
      <c r="M572" t="str">
        <f t="shared" si="84"/>
        <v>124</v>
      </c>
      <c r="N572" t="str">
        <f t="shared" si="85"/>
        <v>Centre de Santé</v>
      </c>
      <c r="O572" t="str">
        <f>"60"</f>
        <v>60</v>
      </c>
      <c r="P572" t="str">
        <f>"Association Loi 1901 non Reconnue d'Utilité Publique"</f>
        <v>Association Loi 1901 non Reconnue d'Utilité Publique</v>
      </c>
      <c r="Q572" t="str">
        <f t="shared" si="88"/>
        <v>36</v>
      </c>
      <c r="R572" t="str">
        <f t="shared" si="89"/>
        <v>Tarifs conventionnels assurance maladie</v>
      </c>
      <c r="U572" t="str">
        <f>"940028699"</f>
        <v>940028699</v>
      </c>
    </row>
    <row r="573" spans="1:21" x14ac:dyDescent="0.3">
      <c r="A573" t="str">
        <f>"940028798"</f>
        <v>940028798</v>
      </c>
      <c r="B573" t="str">
        <f>"901 795 591 00014"</f>
        <v>901 795 591 00014</v>
      </c>
      <c r="D573" t="str">
        <f>"CDS DENTAIRE JEAN JAURES"</f>
        <v>CDS DENTAIRE JEAN JAURES</v>
      </c>
      <c r="F573" t="str">
        <f>"67 RUE JEAN JAURES"</f>
        <v>67 RUE JEAN JAURES</v>
      </c>
      <c r="H573" t="str">
        <f>"94500"</f>
        <v>94500</v>
      </c>
      <c r="I573" t="str">
        <f>"CHAMPIGNY SUR MARNE"</f>
        <v>CHAMPIGNY SUR MARNE</v>
      </c>
      <c r="J573" t="str">
        <f>"06 09 73 27 33 "</f>
        <v xml:space="preserve">06 09 73 27 33 </v>
      </c>
      <c r="L573" s="1">
        <v>44508</v>
      </c>
      <c r="M573" t="str">
        <f t="shared" si="84"/>
        <v>124</v>
      </c>
      <c r="N573" t="str">
        <f t="shared" si="85"/>
        <v>Centre de Santé</v>
      </c>
      <c r="O573" t="str">
        <f>"60"</f>
        <v>60</v>
      </c>
      <c r="P573" t="str">
        <f>"Association Loi 1901 non Reconnue d'Utilité Publique"</f>
        <v>Association Loi 1901 non Reconnue d'Utilité Publique</v>
      </c>
      <c r="Q573" t="str">
        <f t="shared" si="88"/>
        <v>36</v>
      </c>
      <c r="R573" t="str">
        <f t="shared" si="89"/>
        <v>Tarifs conventionnels assurance maladie</v>
      </c>
      <c r="U573" t="str">
        <f>"770025872"</f>
        <v>770025872</v>
      </c>
    </row>
    <row r="574" spans="1:21" x14ac:dyDescent="0.3">
      <c r="A574" t="str">
        <f>"910025527"</f>
        <v>910025527</v>
      </c>
      <c r="D574" t="str">
        <f>"CDS BRUNOY"</f>
        <v>CDS BRUNOY</v>
      </c>
      <c r="F574" t="str">
        <f>"11 RUE DE LA REPUBLIQUE"</f>
        <v>11 RUE DE LA REPUBLIQUE</v>
      </c>
      <c r="H574" t="str">
        <f>"91800"</f>
        <v>91800</v>
      </c>
      <c r="I574" t="str">
        <f>"BRUNOY"</f>
        <v>BRUNOY</v>
      </c>
      <c r="L574" s="1">
        <v>44504</v>
      </c>
      <c r="M574" t="str">
        <f t="shared" si="84"/>
        <v>124</v>
      </c>
      <c r="N574" t="str">
        <f t="shared" si="85"/>
        <v>Centre de Santé</v>
      </c>
      <c r="O574" t="str">
        <f>"60"</f>
        <v>60</v>
      </c>
      <c r="P574" t="str">
        <f>"Association Loi 1901 non Reconnue d'Utilité Publique"</f>
        <v>Association Loi 1901 non Reconnue d'Utilité Publique</v>
      </c>
      <c r="Q574" t="str">
        <f t="shared" si="88"/>
        <v>36</v>
      </c>
      <c r="R574" t="str">
        <f t="shared" si="89"/>
        <v>Tarifs conventionnels assurance maladie</v>
      </c>
      <c r="U574" t="str">
        <f>"910025519"</f>
        <v>910025519</v>
      </c>
    </row>
    <row r="575" spans="1:21" x14ac:dyDescent="0.3">
      <c r="A575" t="str">
        <f>"970412276"</f>
        <v>970412276</v>
      </c>
      <c r="B575" t="str">
        <f>"199 744 780 00339"</f>
        <v>199 744 780 00339</v>
      </c>
      <c r="D575" t="str">
        <f>"CENTRE DE SANTÉ DU MOUFIA"</f>
        <v>CENTRE DE SANTÉ DU MOUFIA</v>
      </c>
      <c r="F575" t="str">
        <f>"15 AVENUE RENÉ CASSIN"</f>
        <v>15 AVENUE RENÉ CASSIN</v>
      </c>
      <c r="G575" t="str">
        <f>"BP 7151"</f>
        <v>BP 7151</v>
      </c>
      <c r="H575" t="str">
        <f>"97490"</f>
        <v>97490</v>
      </c>
      <c r="I575" t="str">
        <f>"ST DENIS"</f>
        <v>ST DENIS</v>
      </c>
      <c r="J575" t="str">
        <f>"02 62 93 84 00 "</f>
        <v xml:space="preserve">02 62 93 84 00 </v>
      </c>
      <c r="L575" s="1">
        <v>44504</v>
      </c>
      <c r="M575" t="str">
        <f t="shared" si="84"/>
        <v>124</v>
      </c>
      <c r="N575" t="str">
        <f t="shared" si="85"/>
        <v>Centre de Santé</v>
      </c>
      <c r="O575" t="str">
        <f>"26"</f>
        <v>26</v>
      </c>
      <c r="P575" t="str">
        <f>"Autre Etablissement Public à Caractère Administratif"</f>
        <v>Autre Etablissement Public à Caractère Administratif</v>
      </c>
      <c r="Q575" t="str">
        <f t="shared" si="88"/>
        <v>36</v>
      </c>
      <c r="R575" t="str">
        <f t="shared" si="89"/>
        <v>Tarifs conventionnels assurance maladie</v>
      </c>
      <c r="U575" t="str">
        <f>"970463626"</f>
        <v>970463626</v>
      </c>
    </row>
    <row r="576" spans="1:21" x14ac:dyDescent="0.3">
      <c r="A576" t="str">
        <f>"970412284"</f>
        <v>970412284</v>
      </c>
      <c r="B576" t="str">
        <f>"199 744 780 00347"</f>
        <v>199 744 780 00347</v>
      </c>
      <c r="D576" t="str">
        <f>"CENTRE DE SANTÉ LE TAMPON"</f>
        <v>CENTRE DE SANTÉ LE TAMPON</v>
      </c>
      <c r="F576" t="str">
        <f>"117 AVENUE DU GÉNÉRAL AILLERET"</f>
        <v>117 AVENUE DU GÉNÉRAL AILLERET</v>
      </c>
      <c r="H576" t="str">
        <f>"97430"</f>
        <v>97430</v>
      </c>
      <c r="I576" t="str">
        <f>"LE TAMPON"</f>
        <v>LE TAMPON</v>
      </c>
      <c r="J576" t="str">
        <f>"02 62 57 95 62 "</f>
        <v xml:space="preserve">02 62 57 95 62 </v>
      </c>
      <c r="L576" s="1">
        <v>44504</v>
      </c>
      <c r="M576" t="str">
        <f t="shared" si="84"/>
        <v>124</v>
      </c>
      <c r="N576" t="str">
        <f t="shared" si="85"/>
        <v>Centre de Santé</v>
      </c>
      <c r="O576" t="str">
        <f>"26"</f>
        <v>26</v>
      </c>
      <c r="P576" t="str">
        <f>"Autre Etablissement Public à Caractère Administratif"</f>
        <v>Autre Etablissement Public à Caractère Administratif</v>
      </c>
      <c r="Q576" t="str">
        <f t="shared" si="88"/>
        <v>36</v>
      </c>
      <c r="R576" t="str">
        <f t="shared" si="89"/>
        <v>Tarifs conventionnels assurance maladie</v>
      </c>
      <c r="U576" t="str">
        <f>"970463626"</f>
        <v>970463626</v>
      </c>
    </row>
    <row r="577" spans="1:21" x14ac:dyDescent="0.3">
      <c r="A577" t="str">
        <f>"920036969"</f>
        <v>920036969</v>
      </c>
      <c r="B577" t="str">
        <f>"751 604 406 00015"</f>
        <v>751 604 406 00015</v>
      </c>
      <c r="D577" t="str">
        <f>"CDS MEDICAL ET DENTAIRE PUTEAUX"</f>
        <v>CDS MEDICAL ET DENTAIRE PUTEAUX</v>
      </c>
      <c r="F577" t="str">
        <f>"73 RUE JEAN JAURES"</f>
        <v>73 RUE JEAN JAURES</v>
      </c>
      <c r="H577" t="str">
        <f>"92800"</f>
        <v>92800</v>
      </c>
      <c r="I577" t="str">
        <f>"PUTEAUX"</f>
        <v>PUTEAUX</v>
      </c>
      <c r="J577" t="str">
        <f>"01 80 24 00 55 "</f>
        <v xml:space="preserve">01 80 24 00 55 </v>
      </c>
      <c r="L577" s="1">
        <v>44503</v>
      </c>
      <c r="M577" t="str">
        <f t="shared" si="84"/>
        <v>124</v>
      </c>
      <c r="N577" t="str">
        <f t="shared" si="85"/>
        <v>Centre de Santé</v>
      </c>
      <c r="O577" t="str">
        <f>"60"</f>
        <v>60</v>
      </c>
      <c r="P577" t="str">
        <f>"Association Loi 1901 non Reconnue d'Utilité Publique"</f>
        <v>Association Loi 1901 non Reconnue d'Utilité Publique</v>
      </c>
      <c r="Q577" t="str">
        <f t="shared" si="88"/>
        <v>36</v>
      </c>
      <c r="R577" t="str">
        <f t="shared" si="89"/>
        <v>Tarifs conventionnels assurance maladie</v>
      </c>
      <c r="U577" t="str">
        <f>"750050577"</f>
        <v>750050577</v>
      </c>
    </row>
    <row r="578" spans="1:21" x14ac:dyDescent="0.3">
      <c r="A578" t="str">
        <f>"060030665"</f>
        <v>060030665</v>
      </c>
      <c r="B578" t="str">
        <f>"898 567 995 00011"</f>
        <v>898 567 995 00011</v>
      </c>
      <c r="D578" t="str">
        <f>"CDS POLYVALENT ROOSEVELT"</f>
        <v>CDS POLYVALENT ROOSEVELT</v>
      </c>
      <c r="F578" t="str">
        <f>"109 AVENUE FRANKLIN ROOSEVELT"</f>
        <v>109 AVENUE FRANKLIN ROOSEVELT</v>
      </c>
      <c r="H578" t="str">
        <f>"06110"</f>
        <v>06110</v>
      </c>
      <c r="I578" t="str">
        <f>"LE CANNET"</f>
        <v>LE CANNET</v>
      </c>
      <c r="J578" t="str">
        <f>"06 77 97 42 18 "</f>
        <v xml:space="preserve">06 77 97 42 18 </v>
      </c>
      <c r="L578" s="1">
        <v>44502</v>
      </c>
      <c r="M578" t="str">
        <f t="shared" ref="M578:M641" si="90">"124"</f>
        <v>124</v>
      </c>
      <c r="N578" t="str">
        <f t="shared" ref="N578:N641" si="91">"Centre de Santé"</f>
        <v>Centre de Santé</v>
      </c>
      <c r="O578" t="str">
        <f>"61"</f>
        <v>61</v>
      </c>
      <c r="P578" t="str">
        <f>"Association Loi 1901 Reconnue d'Utilité Publique"</f>
        <v>Association Loi 1901 Reconnue d'Utilité Publique</v>
      </c>
      <c r="Q578" t="str">
        <f t="shared" si="88"/>
        <v>36</v>
      </c>
      <c r="R578" t="str">
        <f t="shared" si="89"/>
        <v>Tarifs conventionnels assurance maladie</v>
      </c>
      <c r="U578" t="str">
        <f>"060030657"</f>
        <v>060030657</v>
      </c>
    </row>
    <row r="579" spans="1:21" x14ac:dyDescent="0.3">
      <c r="A579" t="str">
        <f>"210013736"</f>
        <v>210013736</v>
      </c>
      <c r="B579" t="str">
        <f>"212 105 258 00017"</f>
        <v>212 105 258 00017</v>
      </c>
      <c r="D579" t="str">
        <f>"POLE MEDICAL DE LA ROCHE EN BRENIL"</f>
        <v>POLE MEDICAL DE LA ROCHE EN BRENIL</v>
      </c>
      <c r="F579" t="str">
        <f>"RUE DE LA GARE"</f>
        <v>RUE DE LA GARE</v>
      </c>
      <c r="H579" t="str">
        <f>"21530"</f>
        <v>21530</v>
      </c>
      <c r="I579" t="str">
        <f>"LA ROCHE EN BRENIL"</f>
        <v>LA ROCHE EN BRENIL</v>
      </c>
      <c r="L579" s="1">
        <v>44502</v>
      </c>
      <c r="M579" t="str">
        <f t="shared" si="90"/>
        <v>124</v>
      </c>
      <c r="N579" t="str">
        <f t="shared" si="91"/>
        <v>Centre de Santé</v>
      </c>
      <c r="O579" t="str">
        <f>"03"</f>
        <v>03</v>
      </c>
      <c r="P579" t="str">
        <f>"Commune"</f>
        <v>Commune</v>
      </c>
      <c r="Q579" t="str">
        <f t="shared" si="88"/>
        <v>36</v>
      </c>
      <c r="R579" t="str">
        <f t="shared" si="89"/>
        <v>Tarifs conventionnels assurance maladie</v>
      </c>
      <c r="U579" t="str">
        <f>"210013728"</f>
        <v>210013728</v>
      </c>
    </row>
    <row r="580" spans="1:21" x14ac:dyDescent="0.3">
      <c r="A580" t="str">
        <f>"290038009"</f>
        <v>290038009</v>
      </c>
      <c r="B580" t="str">
        <f>"775 576 549 00460"</f>
        <v>775 576 549 00460</v>
      </c>
      <c r="D580" t="str">
        <f>"CENTRE DENTAIRE MUTUALISTE"</f>
        <v>CENTRE DENTAIRE MUTUALISTE</v>
      </c>
      <c r="F580" t="str">
        <f>"2 RUE LUCIEN VIDIE"</f>
        <v>2 RUE LUCIEN VIDIE</v>
      </c>
      <c r="H580" t="str">
        <f>"29900"</f>
        <v>29900</v>
      </c>
      <c r="I580" t="str">
        <f>"CONCARNEAU"</f>
        <v>CONCARNEAU</v>
      </c>
      <c r="L580" s="1">
        <v>44502</v>
      </c>
      <c r="M580" t="str">
        <f t="shared" si="90"/>
        <v>124</v>
      </c>
      <c r="N580" t="str">
        <f t="shared" si="91"/>
        <v>Centre de Santé</v>
      </c>
      <c r="O580" t="str">
        <f>"47"</f>
        <v>47</v>
      </c>
      <c r="P580" t="str">
        <f>"Société Mutualiste"</f>
        <v>Société Mutualiste</v>
      </c>
      <c r="Q580" t="str">
        <f t="shared" si="88"/>
        <v>36</v>
      </c>
      <c r="R580" t="str">
        <f t="shared" si="89"/>
        <v>Tarifs conventionnels assurance maladie</v>
      </c>
      <c r="U580" t="str">
        <f>"290007574"</f>
        <v>290007574</v>
      </c>
    </row>
    <row r="581" spans="1:21" x14ac:dyDescent="0.3">
      <c r="A581" t="str">
        <f>"510026909"</f>
        <v>510026909</v>
      </c>
      <c r="B581" t="str">
        <f>"892 161 712 00013"</f>
        <v>892 161 712 00013</v>
      </c>
      <c r="D581" t="str">
        <f>"CENTRE DENTAIRE VERTUO REIMS TINQUEUX"</f>
        <v>CENTRE DENTAIRE VERTUO REIMS TINQUEUX</v>
      </c>
      <c r="E581" t="str">
        <f>"CC CARREFOUR REIMS TINQUEUX"</f>
        <v>CC CARREFOUR REIMS TINQUEUX</v>
      </c>
      <c r="F581" t="str">
        <f>"ROUTE DE SOISSONS"</f>
        <v>ROUTE DE SOISSONS</v>
      </c>
      <c r="H581" t="str">
        <f>"51430"</f>
        <v>51430</v>
      </c>
      <c r="I581" t="str">
        <f>"TINQUEUX"</f>
        <v>TINQUEUX</v>
      </c>
      <c r="J581" t="str">
        <f>"03 52 74 08 58 "</f>
        <v xml:space="preserve">03 52 74 08 58 </v>
      </c>
      <c r="L581" s="1">
        <v>44502</v>
      </c>
      <c r="M581" t="str">
        <f t="shared" si="90"/>
        <v>124</v>
      </c>
      <c r="N581" t="str">
        <f t="shared" si="91"/>
        <v>Centre de Santé</v>
      </c>
      <c r="O581" t="str">
        <f>"60"</f>
        <v>60</v>
      </c>
      <c r="P581" t="str">
        <f>"Association Loi 1901 non Reconnue d'Utilité Publique"</f>
        <v>Association Loi 1901 non Reconnue d'Utilité Publique</v>
      </c>
      <c r="Q581" t="str">
        <f t="shared" si="88"/>
        <v>36</v>
      </c>
      <c r="R581" t="str">
        <f t="shared" si="89"/>
        <v>Tarifs conventionnels assurance maladie</v>
      </c>
      <c r="U581" t="str">
        <f>"510026891"</f>
        <v>510026891</v>
      </c>
    </row>
    <row r="582" spans="1:21" x14ac:dyDescent="0.3">
      <c r="A582" t="str">
        <f>"570029918"</f>
        <v>570029918</v>
      </c>
      <c r="B582" t="str">
        <f>"893 076 869 00039"</f>
        <v>893 076 869 00039</v>
      </c>
      <c r="D582" t="str">
        <f>"CENTRE DE SANTE DE L'ASSOCIATION GMSI"</f>
        <v>CENTRE DE SANTE DE L'ASSOCIATION GMSI</v>
      </c>
      <c r="F582" t="str">
        <f>"24 FAUBOURG SAINT CROIX"</f>
        <v>24 FAUBOURG SAINT CROIX</v>
      </c>
      <c r="H582" t="str">
        <f>"57600"</f>
        <v>57600</v>
      </c>
      <c r="I582" t="str">
        <f>"FORBACH"</f>
        <v>FORBACH</v>
      </c>
      <c r="J582" t="str">
        <f>"06 51 23 99 99 "</f>
        <v xml:space="preserve">06 51 23 99 99 </v>
      </c>
      <c r="L582" s="1">
        <v>44502</v>
      </c>
      <c r="M582" t="str">
        <f t="shared" si="90"/>
        <v>124</v>
      </c>
      <c r="N582" t="str">
        <f t="shared" si="91"/>
        <v>Centre de Santé</v>
      </c>
      <c r="O582" t="str">
        <f>"62"</f>
        <v>62</v>
      </c>
      <c r="P582" t="str">
        <f>"Association de Droit Local"</f>
        <v>Association de Droit Local</v>
      </c>
      <c r="Q582" t="str">
        <f t="shared" si="88"/>
        <v>36</v>
      </c>
      <c r="R582" t="str">
        <f t="shared" si="89"/>
        <v>Tarifs conventionnels assurance maladie</v>
      </c>
      <c r="U582" t="str">
        <f>"570029710"</f>
        <v>570029710</v>
      </c>
    </row>
    <row r="583" spans="1:21" x14ac:dyDescent="0.3">
      <c r="A583" t="str">
        <f>"720022664"</f>
        <v>720022664</v>
      </c>
      <c r="B583" t="str">
        <f>"775 609 621 02225"</f>
        <v>775 609 621 02225</v>
      </c>
      <c r="D583" t="str">
        <f>"SERVICE MEDICAL DE PROXIMITE LE MANS"</f>
        <v>SERVICE MEDICAL DE PROXIMITE LE MANS</v>
      </c>
      <c r="E583" t="str">
        <f>"PARC DE TESSE -27A"</f>
        <v>PARC DE TESSE -27A</v>
      </c>
      <c r="F583" t="str">
        <f>"27 AVENUE DE PADERBORN"</f>
        <v>27 AVENUE DE PADERBORN</v>
      </c>
      <c r="H583" t="str">
        <f>"72000"</f>
        <v>72000</v>
      </c>
      <c r="I583" t="str">
        <f>"LE MANS"</f>
        <v>LE MANS</v>
      </c>
      <c r="J583" t="str">
        <f>"02 59 29 01 30 "</f>
        <v xml:space="preserve">02 59 29 01 30 </v>
      </c>
      <c r="L583" s="1">
        <v>44502</v>
      </c>
      <c r="M583" t="str">
        <f t="shared" si="90"/>
        <v>124</v>
      </c>
      <c r="N583" t="str">
        <f t="shared" si="91"/>
        <v>Centre de Santé</v>
      </c>
      <c r="O583" t="str">
        <f>"47"</f>
        <v>47</v>
      </c>
      <c r="P583" t="str">
        <f>"Société Mutualiste"</f>
        <v>Société Mutualiste</v>
      </c>
      <c r="Q583" t="str">
        <f t="shared" si="88"/>
        <v>36</v>
      </c>
      <c r="R583" t="str">
        <f t="shared" si="89"/>
        <v>Tarifs conventionnels assurance maladie</v>
      </c>
      <c r="U583" t="str">
        <f>"490535168"</f>
        <v>490535168</v>
      </c>
    </row>
    <row r="584" spans="1:21" x14ac:dyDescent="0.3">
      <c r="A584" t="str">
        <f>"910025915"</f>
        <v>910025915</v>
      </c>
      <c r="B584" t="str">
        <f>"898 559 729 00014"</f>
        <v>898 559 729 00014</v>
      </c>
      <c r="D584" t="str">
        <f>"CDS MEDICO DENTAIRE DE PALAISEAU"</f>
        <v>CDS MEDICO DENTAIRE DE PALAISEAU</v>
      </c>
      <c r="F584" t="str">
        <f>"2 RUE DE LA GARE"</f>
        <v>2 RUE DE LA GARE</v>
      </c>
      <c r="H584" t="str">
        <f>"91120"</f>
        <v>91120</v>
      </c>
      <c r="I584" t="str">
        <f>"PALAISEAU"</f>
        <v>PALAISEAU</v>
      </c>
      <c r="J584" t="str">
        <f>"06 58 13 13 41 "</f>
        <v xml:space="preserve">06 58 13 13 41 </v>
      </c>
      <c r="L584" s="1">
        <v>44502</v>
      </c>
      <c r="M584" t="str">
        <f t="shared" si="90"/>
        <v>124</v>
      </c>
      <c r="N584" t="str">
        <f t="shared" si="91"/>
        <v>Centre de Santé</v>
      </c>
      <c r="O584" t="str">
        <f>"60"</f>
        <v>60</v>
      </c>
      <c r="P584" t="str">
        <f>"Association Loi 1901 non Reconnue d'Utilité Publique"</f>
        <v>Association Loi 1901 non Reconnue d'Utilité Publique</v>
      </c>
      <c r="Q584" t="str">
        <f t="shared" si="88"/>
        <v>36</v>
      </c>
      <c r="R584" t="str">
        <f t="shared" si="89"/>
        <v>Tarifs conventionnels assurance maladie</v>
      </c>
      <c r="U584" t="str">
        <f>"910025907"</f>
        <v>910025907</v>
      </c>
    </row>
    <row r="585" spans="1:21" x14ac:dyDescent="0.3">
      <c r="A585" t="str">
        <f>"930030531"</f>
        <v>930030531</v>
      </c>
      <c r="B585" t="str">
        <f>"891 029 639 00012"</f>
        <v>891 029 639 00012</v>
      </c>
      <c r="D585" t="str">
        <f>"CDS OPHTALMOLOGIQUE OPHTALMED"</f>
        <v>CDS OPHTALMOLOGIQUE OPHTALMED</v>
      </c>
      <c r="F585" t="str">
        <f>"234 BOULEVARD DU MONT D EST"</f>
        <v>234 BOULEVARD DU MONT D EST</v>
      </c>
      <c r="G585" t="str">
        <f>"CCIAL LES ARCADES"</f>
        <v>CCIAL LES ARCADES</v>
      </c>
      <c r="H585" t="str">
        <f>"93160"</f>
        <v>93160</v>
      </c>
      <c r="I585" t="str">
        <f>"NOISY LE GRAND"</f>
        <v>NOISY LE GRAND</v>
      </c>
      <c r="J585" t="str">
        <f>"01 85 42 02 42 "</f>
        <v xml:space="preserve">01 85 42 02 42 </v>
      </c>
      <c r="L585" s="1">
        <v>44502</v>
      </c>
      <c r="M585" t="str">
        <f t="shared" si="90"/>
        <v>124</v>
      </c>
      <c r="N585" t="str">
        <f t="shared" si="91"/>
        <v>Centre de Santé</v>
      </c>
      <c r="O585" t="str">
        <f>"60"</f>
        <v>60</v>
      </c>
      <c r="P585" t="str">
        <f>"Association Loi 1901 non Reconnue d'Utilité Publique"</f>
        <v>Association Loi 1901 non Reconnue d'Utilité Publique</v>
      </c>
      <c r="Q585" t="str">
        <f t="shared" si="88"/>
        <v>36</v>
      </c>
      <c r="R585" t="str">
        <f t="shared" si="89"/>
        <v>Tarifs conventionnels assurance maladie</v>
      </c>
      <c r="U585" t="str">
        <f>"930030523"</f>
        <v>930030523</v>
      </c>
    </row>
    <row r="586" spans="1:21" x14ac:dyDescent="0.3">
      <c r="A586" t="str">
        <f>"920037942"</f>
        <v>920037942</v>
      </c>
      <c r="B586" t="str">
        <f>"900 485 079 00017"</f>
        <v>900 485 079 00017</v>
      </c>
      <c r="D586" t="str">
        <f>"CDS MEDICAL JOFFRE"</f>
        <v>CDS MEDICAL JOFFRE</v>
      </c>
      <c r="F586" t="str">
        <f>"63 BOULEVARD DU MARECHAL JOFFRE"</f>
        <v>63 BOULEVARD DU MARECHAL JOFFRE</v>
      </c>
      <c r="H586" t="str">
        <f>"92340"</f>
        <v>92340</v>
      </c>
      <c r="I586" t="str">
        <f>"BOURG LA REINE"</f>
        <v>BOURG LA REINE</v>
      </c>
      <c r="L586" s="1">
        <v>44501</v>
      </c>
      <c r="M586" t="str">
        <f t="shared" si="90"/>
        <v>124</v>
      </c>
      <c r="N586" t="str">
        <f t="shared" si="91"/>
        <v>Centre de Santé</v>
      </c>
      <c r="O586" t="str">
        <f>"60"</f>
        <v>60</v>
      </c>
      <c r="P586" t="str">
        <f>"Association Loi 1901 non Reconnue d'Utilité Publique"</f>
        <v>Association Loi 1901 non Reconnue d'Utilité Publique</v>
      </c>
      <c r="Q586" t="str">
        <f t="shared" si="88"/>
        <v>36</v>
      </c>
      <c r="R586" t="str">
        <f t="shared" si="89"/>
        <v>Tarifs conventionnels assurance maladie</v>
      </c>
      <c r="U586" t="str">
        <f>"920037934"</f>
        <v>920037934</v>
      </c>
    </row>
    <row r="587" spans="1:21" x14ac:dyDescent="0.3">
      <c r="A587" t="str">
        <f>"360008874"</f>
        <v>360008874</v>
      </c>
      <c r="B587" t="str">
        <f>"130 026 792 00015"</f>
        <v>130 026 792 00015</v>
      </c>
      <c r="D587" t="str">
        <f>"CENTRE DE SANTE EXPERIMENTAL OSAT"</f>
        <v>CENTRE DE SANTE EXPERIMENTAL OSAT</v>
      </c>
      <c r="F587" t="str">
        <f>"16 RUE ALBERT CAMUS"</f>
        <v>16 RUE ALBERT CAMUS</v>
      </c>
      <c r="H587" t="str">
        <f>"36000"</f>
        <v>36000</v>
      </c>
      <c r="I587" t="str">
        <f>"CHATEAUROUX"</f>
        <v>CHATEAUROUX</v>
      </c>
      <c r="J587" t="str">
        <f>"02 54 07 69 08 "</f>
        <v xml:space="preserve">02 54 07 69 08 </v>
      </c>
      <c r="L587" s="1">
        <v>44496</v>
      </c>
      <c r="M587" t="str">
        <f t="shared" si="90"/>
        <v>124</v>
      </c>
      <c r="N587" t="str">
        <f t="shared" si="91"/>
        <v>Centre de Santé</v>
      </c>
      <c r="O587" t="str">
        <f>"28"</f>
        <v>28</v>
      </c>
      <c r="P587" t="str">
        <f>"Groupement d'Intérêt Public (G.I.P.)"</f>
        <v>Groupement d'Intérêt Public (G.I.P.)</v>
      </c>
      <c r="Q587" t="str">
        <f t="shared" si="88"/>
        <v>36</v>
      </c>
      <c r="R587" t="str">
        <f t="shared" si="89"/>
        <v>Tarifs conventionnels assurance maladie</v>
      </c>
      <c r="U587" t="str">
        <f>"450022801"</f>
        <v>450022801</v>
      </c>
    </row>
    <row r="588" spans="1:21" x14ac:dyDescent="0.3">
      <c r="A588" t="str">
        <f>"590066585"</f>
        <v>590066585</v>
      </c>
      <c r="B588" t="str">
        <f>"899 735 286 00028"</f>
        <v>899 735 286 00028</v>
      </c>
      <c r="D588" t="str">
        <f>"CSD INKERMANN"</f>
        <v>CSD INKERMANN</v>
      </c>
      <c r="F588" t="str">
        <f>"2 RUE INKERMANN"</f>
        <v>2 RUE INKERMANN</v>
      </c>
      <c r="H588" t="str">
        <f>"59000"</f>
        <v>59000</v>
      </c>
      <c r="I588" t="str">
        <f>"LILLE"</f>
        <v>LILLE</v>
      </c>
      <c r="L588" s="1">
        <v>44495</v>
      </c>
      <c r="M588" t="str">
        <f t="shared" si="90"/>
        <v>124</v>
      </c>
      <c r="N588" t="str">
        <f t="shared" si="91"/>
        <v>Centre de Santé</v>
      </c>
      <c r="O588" t="str">
        <f>"61"</f>
        <v>61</v>
      </c>
      <c r="P588" t="str">
        <f>"Association Loi 1901 Reconnue d'Utilité Publique"</f>
        <v>Association Loi 1901 Reconnue d'Utilité Publique</v>
      </c>
      <c r="Q588" t="str">
        <f t="shared" si="88"/>
        <v>36</v>
      </c>
      <c r="R588" t="str">
        <f t="shared" si="89"/>
        <v>Tarifs conventionnels assurance maladie</v>
      </c>
      <c r="U588" t="str">
        <f>"590066577"</f>
        <v>590066577</v>
      </c>
    </row>
    <row r="589" spans="1:21" x14ac:dyDescent="0.3">
      <c r="A589" t="str">
        <f>"130052046"</f>
        <v>130052046</v>
      </c>
      <c r="B589" t="str">
        <f>"890 708 167 00014"</f>
        <v>890 708 167 00014</v>
      </c>
      <c r="D589" t="str">
        <f>"CDS DENTAL IN ALLAUCH"</f>
        <v>CDS DENTAL IN ALLAUCH</v>
      </c>
      <c r="F589" t="str">
        <f>"423 AVENUE DU 7E REGIMENT DES"</f>
        <v>423 AVENUE DU 7E REGIMENT DES</v>
      </c>
      <c r="G589" t="str">
        <f>"TIRAILLEURS ALGERIENS"</f>
        <v>TIRAILLEURS ALGERIENS</v>
      </c>
      <c r="H589" t="str">
        <f>"13190"</f>
        <v>13190</v>
      </c>
      <c r="I589" t="str">
        <f>"ALLAUCH"</f>
        <v>ALLAUCH</v>
      </c>
      <c r="L589" s="1">
        <v>44494</v>
      </c>
      <c r="M589" t="str">
        <f t="shared" si="90"/>
        <v>124</v>
      </c>
      <c r="N589" t="str">
        <f t="shared" si="91"/>
        <v>Centre de Santé</v>
      </c>
      <c r="O589" t="str">
        <f>"61"</f>
        <v>61</v>
      </c>
      <c r="P589" t="str">
        <f>"Association Loi 1901 Reconnue d'Utilité Publique"</f>
        <v>Association Loi 1901 Reconnue d'Utilité Publique</v>
      </c>
      <c r="Q589" t="str">
        <f t="shared" si="88"/>
        <v>36</v>
      </c>
      <c r="R589" t="str">
        <f t="shared" si="89"/>
        <v>Tarifs conventionnels assurance maladie</v>
      </c>
      <c r="U589" t="str">
        <f>"130052038"</f>
        <v>130052038</v>
      </c>
    </row>
    <row r="590" spans="1:21" x14ac:dyDescent="0.3">
      <c r="A590" t="str">
        <f>"760039602"</f>
        <v>760039602</v>
      </c>
      <c r="B590" t="str">
        <f>"901 024 851 00015"</f>
        <v>901 024 851 00015</v>
      </c>
      <c r="D590" t="str">
        <f>"CENTRE DE SANTE SOMED ROUEN"</f>
        <v>CENTRE DE SANTE SOMED ROUEN</v>
      </c>
      <c r="F590" t="str">
        <f>"PLACE BERNARD TISSOT"</f>
        <v>PLACE BERNARD TISSOT</v>
      </c>
      <c r="H590" t="str">
        <f>"76000"</f>
        <v>76000</v>
      </c>
      <c r="I590" t="str">
        <f>"ROUEN"</f>
        <v>ROUEN</v>
      </c>
      <c r="J590" t="str">
        <f>"02 76 67 72 76 "</f>
        <v xml:space="preserve">02 76 67 72 76 </v>
      </c>
      <c r="L590" s="1">
        <v>44494</v>
      </c>
      <c r="M590" t="str">
        <f t="shared" si="90"/>
        <v>124</v>
      </c>
      <c r="N590" t="str">
        <f t="shared" si="91"/>
        <v>Centre de Santé</v>
      </c>
      <c r="O590" t="str">
        <f>"60"</f>
        <v>60</v>
      </c>
      <c r="P590" t="str">
        <f>"Association Loi 1901 non Reconnue d'Utilité Publique"</f>
        <v>Association Loi 1901 non Reconnue d'Utilité Publique</v>
      </c>
      <c r="Q590" t="str">
        <f t="shared" si="88"/>
        <v>36</v>
      </c>
      <c r="R590" t="str">
        <f t="shared" si="89"/>
        <v>Tarifs conventionnels assurance maladie</v>
      </c>
      <c r="U590" t="str">
        <f>"760039594"</f>
        <v>760039594</v>
      </c>
    </row>
    <row r="591" spans="1:21" x14ac:dyDescent="0.3">
      <c r="A591" t="str">
        <f>"590066080"</f>
        <v>590066080</v>
      </c>
      <c r="B591" t="str">
        <f>"898 310 578 00015"</f>
        <v>898 310 578 00015</v>
      </c>
      <c r="D591" t="str">
        <f>"CSP SOMED - LILLE"</f>
        <v>CSP SOMED - LILLE</v>
      </c>
      <c r="E591" t="str">
        <f>"GARE SNCF LILLE EUROPE"</f>
        <v>GARE SNCF LILLE EUROPE</v>
      </c>
      <c r="F591" t="str">
        <f>"BOULEVARD DE LEEDS"</f>
        <v>BOULEVARD DE LEEDS</v>
      </c>
      <c r="H591" t="str">
        <f>"59777"</f>
        <v>59777</v>
      </c>
      <c r="I591" t="str">
        <f>"LILLE"</f>
        <v>LILLE</v>
      </c>
      <c r="J591" t="str">
        <f>"03 59 75 03 59 "</f>
        <v xml:space="preserve">03 59 75 03 59 </v>
      </c>
      <c r="L591" s="1">
        <v>44489</v>
      </c>
      <c r="M591" t="str">
        <f t="shared" si="90"/>
        <v>124</v>
      </c>
      <c r="N591" t="str">
        <f t="shared" si="91"/>
        <v>Centre de Santé</v>
      </c>
      <c r="O591" t="str">
        <f>"60"</f>
        <v>60</v>
      </c>
      <c r="P591" t="str">
        <f>"Association Loi 1901 non Reconnue d'Utilité Publique"</f>
        <v>Association Loi 1901 non Reconnue d'Utilité Publique</v>
      </c>
      <c r="Q591" t="str">
        <f t="shared" si="88"/>
        <v>36</v>
      </c>
      <c r="R591" t="str">
        <f t="shared" si="89"/>
        <v>Tarifs conventionnels assurance maladie</v>
      </c>
      <c r="U591" t="str">
        <f>"590066072"</f>
        <v>590066072</v>
      </c>
    </row>
    <row r="592" spans="1:21" x14ac:dyDescent="0.3">
      <c r="A592" t="str">
        <f>"940027063"</f>
        <v>940027063</v>
      </c>
      <c r="B592" t="str">
        <f>"889 423 190 00012"</f>
        <v>889 423 190 00012</v>
      </c>
      <c r="D592" t="str">
        <f>"CDS DENTAIRE CHOISY SUD"</f>
        <v>CDS DENTAIRE CHOISY SUD</v>
      </c>
      <c r="F592" t="str">
        <f>"111 AVENUE ANATOLE FRANCE"</f>
        <v>111 AVENUE ANATOLE FRANCE</v>
      </c>
      <c r="H592" t="str">
        <f>"94600"</f>
        <v>94600</v>
      </c>
      <c r="I592" t="str">
        <f>"CHOISY LE ROI"</f>
        <v>CHOISY LE ROI</v>
      </c>
      <c r="J592" t="str">
        <f>"07 60 50 83 23 "</f>
        <v xml:space="preserve">07 60 50 83 23 </v>
      </c>
      <c r="L592" s="1">
        <v>44488</v>
      </c>
      <c r="M592" t="str">
        <f t="shared" si="90"/>
        <v>124</v>
      </c>
      <c r="N592" t="str">
        <f t="shared" si="91"/>
        <v>Centre de Santé</v>
      </c>
      <c r="O592" t="str">
        <f>"60"</f>
        <v>60</v>
      </c>
      <c r="P592" t="str">
        <f>"Association Loi 1901 non Reconnue d'Utilité Publique"</f>
        <v>Association Loi 1901 non Reconnue d'Utilité Publique</v>
      </c>
      <c r="Q592" t="str">
        <f t="shared" si="88"/>
        <v>36</v>
      </c>
      <c r="R592" t="str">
        <f t="shared" si="89"/>
        <v>Tarifs conventionnels assurance maladie</v>
      </c>
      <c r="U592" t="str">
        <f>"750066805"</f>
        <v>750066805</v>
      </c>
    </row>
    <row r="593" spans="1:21" x14ac:dyDescent="0.3">
      <c r="A593" t="str">
        <f>"010012482"</f>
        <v>010012482</v>
      </c>
      <c r="B593" t="str">
        <f>"902 880 608 00010"</f>
        <v>902 880 608 00010</v>
      </c>
      <c r="D593" t="str">
        <f>"CENTRE DE SANTE DENTAIRE D'OYONNAX"</f>
        <v>CENTRE DE SANTE DENTAIRE D'OYONNAX</v>
      </c>
      <c r="F593" t="str">
        <f>"31 BOULEVARD LOUIS DUPUY"</f>
        <v>31 BOULEVARD LOUIS DUPUY</v>
      </c>
      <c r="H593" t="str">
        <f>"01100"</f>
        <v>01100</v>
      </c>
      <c r="I593" t="str">
        <f>"OYONNAX"</f>
        <v>OYONNAX</v>
      </c>
      <c r="L593" s="1">
        <v>44484</v>
      </c>
      <c r="M593" t="str">
        <f t="shared" si="90"/>
        <v>124</v>
      </c>
      <c r="N593" t="str">
        <f t="shared" si="91"/>
        <v>Centre de Santé</v>
      </c>
      <c r="O593" t="str">
        <f>"60"</f>
        <v>60</v>
      </c>
      <c r="P593" t="str">
        <f>"Association Loi 1901 non Reconnue d'Utilité Publique"</f>
        <v>Association Loi 1901 non Reconnue d'Utilité Publique</v>
      </c>
      <c r="Q593" t="str">
        <f t="shared" si="88"/>
        <v>36</v>
      </c>
      <c r="R593" t="str">
        <f t="shared" si="89"/>
        <v>Tarifs conventionnels assurance maladie</v>
      </c>
      <c r="U593" t="str">
        <f>"010012474"</f>
        <v>010012474</v>
      </c>
    </row>
    <row r="594" spans="1:21" x14ac:dyDescent="0.3">
      <c r="A594" t="str">
        <f>"380025882"</f>
        <v>380025882</v>
      </c>
      <c r="B594" t="str">
        <f>"817 641 822 00017"</f>
        <v>817 641 822 00017</v>
      </c>
      <c r="D594" t="str">
        <f>"CENTRE DE SANTE DENTAIRE SOLIDENT"</f>
        <v>CENTRE DE SANTE DENTAIRE SOLIDENT</v>
      </c>
      <c r="E594" t="str">
        <f>"PAVILLON MOIDIEU - HOPITAL NORD"</f>
        <v>PAVILLON MOIDIEU - HOPITAL NORD</v>
      </c>
      <c r="F594" t="str">
        <f>""</f>
        <v/>
      </c>
      <c r="G594" t="str">
        <f>"CS 10217"</f>
        <v>CS 10217</v>
      </c>
      <c r="H594" t="str">
        <f>"38043"</f>
        <v>38043</v>
      </c>
      <c r="I594" t="str">
        <f>"GRENOBLE CEDEX 9"</f>
        <v>GRENOBLE CEDEX 9</v>
      </c>
      <c r="L594" s="1">
        <v>44484</v>
      </c>
      <c r="M594" t="str">
        <f t="shared" si="90"/>
        <v>124</v>
      </c>
      <c r="N594" t="str">
        <f t="shared" si="91"/>
        <v>Centre de Santé</v>
      </c>
      <c r="O594" t="str">
        <f>"60"</f>
        <v>60</v>
      </c>
      <c r="P594" t="str">
        <f>"Association Loi 1901 non Reconnue d'Utilité Publique"</f>
        <v>Association Loi 1901 non Reconnue d'Utilité Publique</v>
      </c>
      <c r="Q594" t="str">
        <f t="shared" si="88"/>
        <v>36</v>
      </c>
      <c r="R594" t="str">
        <f t="shared" si="89"/>
        <v>Tarifs conventionnels assurance maladie</v>
      </c>
      <c r="U594" t="str">
        <f>"380025874"</f>
        <v>380025874</v>
      </c>
    </row>
    <row r="595" spans="1:21" x14ac:dyDescent="0.3">
      <c r="A595" t="str">
        <f>"840022057"</f>
        <v>840022057</v>
      </c>
      <c r="B595" t="str">
        <f>"893 626 879 00017"</f>
        <v>893 626 879 00017</v>
      </c>
      <c r="D595" t="str">
        <f>"CDS AVIGNON SANTE"</f>
        <v>CDS AVIGNON SANTE</v>
      </c>
      <c r="F595" t="str">
        <f>"4 ROUTE DE LYON"</f>
        <v>4 ROUTE DE LYON</v>
      </c>
      <c r="H595" t="str">
        <f>"84000"</f>
        <v>84000</v>
      </c>
      <c r="I595" t="str">
        <f>"AVIGNON"</f>
        <v>AVIGNON</v>
      </c>
      <c r="L595" s="1">
        <v>44484</v>
      </c>
      <c r="M595" t="str">
        <f t="shared" si="90"/>
        <v>124</v>
      </c>
      <c r="N595" t="str">
        <f t="shared" si="91"/>
        <v>Centre de Santé</v>
      </c>
      <c r="O595" t="str">
        <f>"61"</f>
        <v>61</v>
      </c>
      <c r="P595" t="str">
        <f>"Association Loi 1901 Reconnue d'Utilité Publique"</f>
        <v>Association Loi 1901 Reconnue d'Utilité Publique</v>
      </c>
      <c r="Q595" t="str">
        <f t="shared" si="88"/>
        <v>36</v>
      </c>
      <c r="R595" t="str">
        <f t="shared" si="89"/>
        <v>Tarifs conventionnels assurance maladie</v>
      </c>
      <c r="U595" t="str">
        <f>"840022040"</f>
        <v>840022040</v>
      </c>
    </row>
    <row r="596" spans="1:21" x14ac:dyDescent="0.3">
      <c r="A596" t="str">
        <f>"670021120"</f>
        <v>670021120</v>
      </c>
      <c r="B596" t="str">
        <f>"892 064 239 00023"</f>
        <v>892 064 239 00023</v>
      </c>
      <c r="D596" t="str">
        <f>"CENTRE DENTAIRE SCHILTIGHEIM-FISCHER"</f>
        <v>CENTRE DENTAIRE SCHILTIGHEIM-FISCHER</v>
      </c>
      <c r="F596" t="str">
        <f>"52 ROUTE DE BISCHWILLER"</f>
        <v>52 ROUTE DE BISCHWILLER</v>
      </c>
      <c r="H596" t="str">
        <f>"67300"</f>
        <v>67300</v>
      </c>
      <c r="I596" t="str">
        <f>"SCHILTIGHEIM"</f>
        <v>SCHILTIGHEIM</v>
      </c>
      <c r="J596" t="str">
        <f>"03 88 62 88 80 "</f>
        <v xml:space="preserve">03 88 62 88 80 </v>
      </c>
      <c r="L596" s="1">
        <v>44483</v>
      </c>
      <c r="M596" t="str">
        <f t="shared" si="90"/>
        <v>124</v>
      </c>
      <c r="N596" t="str">
        <f t="shared" si="91"/>
        <v>Centre de Santé</v>
      </c>
      <c r="O596" t="str">
        <f>"62"</f>
        <v>62</v>
      </c>
      <c r="P596" t="str">
        <f>"Association de Droit Local"</f>
        <v>Association de Droit Local</v>
      </c>
      <c r="Q596" t="str">
        <f t="shared" si="88"/>
        <v>36</v>
      </c>
      <c r="R596" t="str">
        <f t="shared" si="89"/>
        <v>Tarifs conventionnels assurance maladie</v>
      </c>
      <c r="U596" t="str">
        <f>"670021112"</f>
        <v>670021112</v>
      </c>
    </row>
    <row r="597" spans="1:21" x14ac:dyDescent="0.3">
      <c r="A597" t="str">
        <f>"770025625"</f>
        <v>770025625</v>
      </c>
      <c r="B597" t="str">
        <f>"893 368 779 00011"</f>
        <v>893 368 779 00011</v>
      </c>
      <c r="D597" t="str">
        <f>"CDS OPHTA VISION"</f>
        <v>CDS OPHTA VISION</v>
      </c>
      <c r="F597" t="str">
        <f>"3 AVENUE ROLAND MORENO"</f>
        <v>3 AVENUE ROLAND MORENO</v>
      </c>
      <c r="G597" t="str">
        <f>"CCIAL LES SAISONS DE MEAUX"</f>
        <v>CCIAL LES SAISONS DE MEAUX</v>
      </c>
      <c r="H597" t="str">
        <f>"77124"</f>
        <v>77124</v>
      </c>
      <c r="I597" t="str">
        <f>"CHAUCONIN NEUFMONTIERS"</f>
        <v>CHAUCONIN NEUFMONTIERS</v>
      </c>
      <c r="J597" t="str">
        <f>"06 75 35 53 00 "</f>
        <v xml:space="preserve">06 75 35 53 00 </v>
      </c>
      <c r="L597" s="1">
        <v>44483</v>
      </c>
      <c r="M597" t="str">
        <f t="shared" si="90"/>
        <v>124</v>
      </c>
      <c r="N597" t="str">
        <f t="shared" si="91"/>
        <v>Centre de Santé</v>
      </c>
      <c r="O597" t="str">
        <f t="shared" ref="O597:O608" si="92">"60"</f>
        <v>60</v>
      </c>
      <c r="P597" t="str">
        <f t="shared" ref="P597:P608" si="93">"Association Loi 1901 non Reconnue d'Utilité Publique"</f>
        <v>Association Loi 1901 non Reconnue d'Utilité Publique</v>
      </c>
      <c r="Q597" t="str">
        <f t="shared" si="88"/>
        <v>36</v>
      </c>
      <c r="R597" t="str">
        <f t="shared" si="89"/>
        <v>Tarifs conventionnels assurance maladie</v>
      </c>
      <c r="U597" t="str">
        <f>"770025617"</f>
        <v>770025617</v>
      </c>
    </row>
    <row r="598" spans="1:21" x14ac:dyDescent="0.3">
      <c r="A598" t="str">
        <f>"950045377"</f>
        <v>950045377</v>
      </c>
      <c r="B598" t="str">
        <f>"887 524 767 00019"</f>
        <v>887 524 767 00019</v>
      </c>
      <c r="D598" t="str">
        <f>"CDS DENTAIRE D'ENGHIEN"</f>
        <v>CDS DENTAIRE D'ENGHIEN</v>
      </c>
      <c r="F598" t="str">
        <f>"8 RUE DU GENERAL DE GAULLE"</f>
        <v>8 RUE DU GENERAL DE GAULLE</v>
      </c>
      <c r="H598" t="str">
        <f>"95880"</f>
        <v>95880</v>
      </c>
      <c r="I598" t="str">
        <f>"ENGHIEN LES BAINS"</f>
        <v>ENGHIEN LES BAINS</v>
      </c>
      <c r="J598" t="str">
        <f>"06 27 87 08 52 "</f>
        <v xml:space="preserve">06 27 87 08 52 </v>
      </c>
      <c r="L598" s="1">
        <v>44483</v>
      </c>
      <c r="M598" t="str">
        <f t="shared" si="90"/>
        <v>124</v>
      </c>
      <c r="N598" t="str">
        <f t="shared" si="91"/>
        <v>Centre de Santé</v>
      </c>
      <c r="O598" t="str">
        <f t="shared" si="92"/>
        <v>60</v>
      </c>
      <c r="P598" t="str">
        <f t="shared" si="93"/>
        <v>Association Loi 1901 non Reconnue d'Utilité Publique</v>
      </c>
      <c r="Q598" t="str">
        <f t="shared" si="88"/>
        <v>36</v>
      </c>
      <c r="R598" t="str">
        <f t="shared" si="89"/>
        <v>Tarifs conventionnels assurance maladie</v>
      </c>
      <c r="U598" t="str">
        <f>"950045369"</f>
        <v>950045369</v>
      </c>
    </row>
    <row r="599" spans="1:21" x14ac:dyDescent="0.3">
      <c r="A599" t="str">
        <f>"780028247"</f>
        <v>780028247</v>
      </c>
      <c r="B599" t="str">
        <f>"892 066 630 00021"</f>
        <v>892 066 630 00021</v>
      </c>
      <c r="D599" t="str">
        <f>"CDS MEDICO DENTAIRE SGL"</f>
        <v>CDS MEDICO DENTAIRE SGL</v>
      </c>
      <c r="F599" t="str">
        <f>"20 RUE D ALGER"</f>
        <v>20 RUE D ALGER</v>
      </c>
      <c r="H599" t="str">
        <f>"78100"</f>
        <v>78100</v>
      </c>
      <c r="I599" t="str">
        <f>"ST GERMAIN EN LAYE"</f>
        <v>ST GERMAIN EN LAYE</v>
      </c>
      <c r="J599" t="str">
        <f>"06 12 72 30 00 "</f>
        <v xml:space="preserve">06 12 72 30 00 </v>
      </c>
      <c r="L599" s="1">
        <v>44481</v>
      </c>
      <c r="M599" t="str">
        <f t="shared" si="90"/>
        <v>124</v>
      </c>
      <c r="N599" t="str">
        <f t="shared" si="91"/>
        <v>Centre de Santé</v>
      </c>
      <c r="O599" t="str">
        <f t="shared" si="92"/>
        <v>60</v>
      </c>
      <c r="P599" t="str">
        <f t="shared" si="93"/>
        <v>Association Loi 1901 non Reconnue d'Utilité Publique</v>
      </c>
      <c r="Q599" t="str">
        <f t="shared" si="88"/>
        <v>36</v>
      </c>
      <c r="R599" t="str">
        <f t="shared" si="89"/>
        <v>Tarifs conventionnels assurance maladie</v>
      </c>
      <c r="U599" t="str">
        <f>"780028486"</f>
        <v>780028486</v>
      </c>
    </row>
    <row r="600" spans="1:21" x14ac:dyDescent="0.3">
      <c r="A600" t="str">
        <f>"690050448"</f>
        <v>690050448</v>
      </c>
      <c r="B600" t="str">
        <f>"897 533 188 00016"</f>
        <v>897 533 188 00016</v>
      </c>
      <c r="D600" t="str">
        <f>"CENTRE DE SANTE DENTAIRE GRATTE-CIEL"</f>
        <v>CENTRE DE SANTE DENTAIRE GRATTE-CIEL</v>
      </c>
      <c r="F600" t="str">
        <f>"154 RUE LOUIS BECKER"</f>
        <v>154 RUE LOUIS BECKER</v>
      </c>
      <c r="H600" t="str">
        <f>"69100"</f>
        <v>69100</v>
      </c>
      <c r="I600" t="str">
        <f>"VILLEURBANNE"</f>
        <v>VILLEURBANNE</v>
      </c>
      <c r="L600" s="1">
        <v>44480</v>
      </c>
      <c r="M600" t="str">
        <f t="shared" si="90"/>
        <v>124</v>
      </c>
      <c r="N600" t="str">
        <f t="shared" si="91"/>
        <v>Centre de Santé</v>
      </c>
      <c r="O600" t="str">
        <f t="shared" si="92"/>
        <v>60</v>
      </c>
      <c r="P600" t="str">
        <f t="shared" si="93"/>
        <v>Association Loi 1901 non Reconnue d'Utilité Publique</v>
      </c>
      <c r="Q600" t="str">
        <f t="shared" si="88"/>
        <v>36</v>
      </c>
      <c r="R600" t="str">
        <f t="shared" si="89"/>
        <v>Tarifs conventionnels assurance maladie</v>
      </c>
      <c r="U600" t="str">
        <f>"690050430"</f>
        <v>690050430</v>
      </c>
    </row>
    <row r="601" spans="1:21" x14ac:dyDescent="0.3">
      <c r="A601" t="str">
        <f>"750066995"</f>
        <v>750066995</v>
      </c>
      <c r="B601" t="str">
        <f>"891 821 795 00012"</f>
        <v>891 821 795 00012</v>
      </c>
      <c r="D601" t="str">
        <f>"CDS OPHTALMO MEDECINE ELYSEE ARTOIS"</f>
        <v>CDS OPHTALMO MEDECINE ELYSEE ARTOIS</v>
      </c>
      <c r="F601" t="str">
        <f>"11 RUE D ARTOIS"</f>
        <v>11 RUE D ARTOIS</v>
      </c>
      <c r="H601" t="str">
        <f>"75008"</f>
        <v>75008</v>
      </c>
      <c r="I601" t="str">
        <f>"PARIS"</f>
        <v>PARIS</v>
      </c>
      <c r="J601" t="str">
        <f>"06 07 27 67 20 "</f>
        <v xml:space="preserve">06 07 27 67 20 </v>
      </c>
      <c r="L601" s="1">
        <v>44477</v>
      </c>
      <c r="M601" t="str">
        <f t="shared" si="90"/>
        <v>124</v>
      </c>
      <c r="N601" t="str">
        <f t="shared" si="91"/>
        <v>Centre de Santé</v>
      </c>
      <c r="O601" t="str">
        <f t="shared" si="92"/>
        <v>60</v>
      </c>
      <c r="P601" t="str">
        <f t="shared" si="93"/>
        <v>Association Loi 1901 non Reconnue d'Utilité Publique</v>
      </c>
      <c r="Q601" t="str">
        <f t="shared" si="88"/>
        <v>36</v>
      </c>
      <c r="R601" t="str">
        <f t="shared" si="89"/>
        <v>Tarifs conventionnels assurance maladie</v>
      </c>
      <c r="U601" t="str">
        <f>"750066987"</f>
        <v>750066987</v>
      </c>
    </row>
    <row r="602" spans="1:21" x14ac:dyDescent="0.3">
      <c r="A602" t="str">
        <f>"750067803"</f>
        <v>750067803</v>
      </c>
      <c r="B602" t="str">
        <f>"894 503 275 00014"</f>
        <v>894 503 275 00014</v>
      </c>
      <c r="D602" t="str">
        <f>"CDS MEDICO DENTAIRE CURIAL"</f>
        <v>CDS MEDICO DENTAIRE CURIAL</v>
      </c>
      <c r="E602" t="str">
        <f>"7-9"</f>
        <v>7-9</v>
      </c>
      <c r="F602" t="str">
        <f>"7 RUE CURIAL"</f>
        <v>7 RUE CURIAL</v>
      </c>
      <c r="H602" t="str">
        <f>"75019"</f>
        <v>75019</v>
      </c>
      <c r="I602" t="str">
        <f>"PARIS"</f>
        <v>PARIS</v>
      </c>
      <c r="J602" t="str">
        <f>"01 87 44 44 89 "</f>
        <v xml:space="preserve">01 87 44 44 89 </v>
      </c>
      <c r="L602" s="1">
        <v>44477</v>
      </c>
      <c r="M602" t="str">
        <f t="shared" si="90"/>
        <v>124</v>
      </c>
      <c r="N602" t="str">
        <f t="shared" si="91"/>
        <v>Centre de Santé</v>
      </c>
      <c r="O602" t="str">
        <f t="shared" si="92"/>
        <v>60</v>
      </c>
      <c r="P602" t="str">
        <f t="shared" si="93"/>
        <v>Association Loi 1901 non Reconnue d'Utilité Publique</v>
      </c>
      <c r="Q602" t="str">
        <f t="shared" si="88"/>
        <v>36</v>
      </c>
      <c r="R602" t="str">
        <f t="shared" si="89"/>
        <v>Tarifs conventionnels assurance maladie</v>
      </c>
      <c r="U602" t="str">
        <f>"750067795"</f>
        <v>750067795</v>
      </c>
    </row>
    <row r="603" spans="1:21" x14ac:dyDescent="0.3">
      <c r="A603" t="str">
        <f>"750068074"</f>
        <v>750068074</v>
      </c>
      <c r="B603" t="str">
        <f>"899 333 470 00016"</f>
        <v>899 333 470 00016</v>
      </c>
      <c r="D603" t="str">
        <f>"CDS DENTAIRE 290 VAUGIRARD"</f>
        <v>CDS DENTAIRE 290 VAUGIRARD</v>
      </c>
      <c r="F603" t="str">
        <f>"290 RUE DE VAUGIRARD"</f>
        <v>290 RUE DE VAUGIRARD</v>
      </c>
      <c r="H603" t="str">
        <f>"75015"</f>
        <v>75015</v>
      </c>
      <c r="I603" t="str">
        <f>"PARIS"</f>
        <v>PARIS</v>
      </c>
      <c r="J603" t="str">
        <f>"06 12 30 49 16 "</f>
        <v xml:space="preserve">06 12 30 49 16 </v>
      </c>
      <c r="L603" s="1">
        <v>44477</v>
      </c>
      <c r="M603" t="str">
        <f t="shared" si="90"/>
        <v>124</v>
      </c>
      <c r="N603" t="str">
        <f t="shared" si="91"/>
        <v>Centre de Santé</v>
      </c>
      <c r="O603" t="str">
        <f t="shared" si="92"/>
        <v>60</v>
      </c>
      <c r="P603" t="str">
        <f t="shared" si="93"/>
        <v>Association Loi 1901 non Reconnue d'Utilité Publique</v>
      </c>
      <c r="Q603" t="str">
        <f t="shared" si="88"/>
        <v>36</v>
      </c>
      <c r="R603" t="str">
        <f t="shared" si="89"/>
        <v>Tarifs conventionnels assurance maladie</v>
      </c>
      <c r="U603" t="str">
        <f>"750068066"</f>
        <v>750068066</v>
      </c>
    </row>
    <row r="604" spans="1:21" x14ac:dyDescent="0.3">
      <c r="A604" t="str">
        <f>"800020935"</f>
        <v>800020935</v>
      </c>
      <c r="B604" t="str">
        <f>"892 053 935 00029"</f>
        <v>892 053 935 00029</v>
      </c>
      <c r="D604" t="str">
        <f>"CENTRE DENTAIRE DE L'HOTEL DE VILLE"</f>
        <v>CENTRE DENTAIRE DE L'HOTEL DE VILLE</v>
      </c>
      <c r="F604" t="str">
        <f>"13 RUE GRESSET"</f>
        <v>13 RUE GRESSET</v>
      </c>
      <c r="H604" t="str">
        <f>"80000"</f>
        <v>80000</v>
      </c>
      <c r="I604" t="str">
        <f>"AMIENS"</f>
        <v>AMIENS</v>
      </c>
      <c r="J604" t="str">
        <f>"06 09 03 27 12 "</f>
        <v xml:space="preserve">06 09 03 27 12 </v>
      </c>
      <c r="L604" s="1">
        <v>44477</v>
      </c>
      <c r="M604" t="str">
        <f t="shared" si="90"/>
        <v>124</v>
      </c>
      <c r="N604" t="str">
        <f t="shared" si="91"/>
        <v>Centre de Santé</v>
      </c>
      <c r="O604" t="str">
        <f t="shared" si="92"/>
        <v>60</v>
      </c>
      <c r="P604" t="str">
        <f t="shared" si="93"/>
        <v>Association Loi 1901 non Reconnue d'Utilité Publique</v>
      </c>
      <c r="Q604" t="str">
        <f t="shared" si="88"/>
        <v>36</v>
      </c>
      <c r="R604" t="str">
        <f t="shared" si="89"/>
        <v>Tarifs conventionnels assurance maladie</v>
      </c>
      <c r="U604" t="str">
        <f>"800021271"</f>
        <v>800021271</v>
      </c>
    </row>
    <row r="605" spans="1:21" x14ac:dyDescent="0.3">
      <c r="A605" t="str">
        <f>"930030663"</f>
        <v>930030663</v>
      </c>
      <c r="B605" t="str">
        <f>"892 862 053 00022"</f>
        <v>892 862 053 00022</v>
      </c>
      <c r="D605" t="str">
        <f>"CDS MEDICAL KVLHM"</f>
        <v>CDS MEDICAL KVLHM</v>
      </c>
      <c r="F605" t="str">
        <f>"8 ROUTE DE SAINT LEU"</f>
        <v>8 ROUTE DE SAINT LEU</v>
      </c>
      <c r="H605" t="str">
        <f>"93430"</f>
        <v>93430</v>
      </c>
      <c r="I605" t="str">
        <f>"VILLETANEUSE"</f>
        <v>VILLETANEUSE</v>
      </c>
      <c r="J605" t="str">
        <f>"01 48 23 40 31 "</f>
        <v xml:space="preserve">01 48 23 40 31 </v>
      </c>
      <c r="L605" s="1">
        <v>44477</v>
      </c>
      <c r="M605" t="str">
        <f t="shared" si="90"/>
        <v>124</v>
      </c>
      <c r="N605" t="str">
        <f t="shared" si="91"/>
        <v>Centre de Santé</v>
      </c>
      <c r="O605" t="str">
        <f t="shared" si="92"/>
        <v>60</v>
      </c>
      <c r="P605" t="str">
        <f t="shared" si="93"/>
        <v>Association Loi 1901 non Reconnue d'Utilité Publique</v>
      </c>
      <c r="Q605" t="str">
        <f t="shared" si="88"/>
        <v>36</v>
      </c>
      <c r="R605" t="str">
        <f t="shared" si="89"/>
        <v>Tarifs conventionnels assurance maladie</v>
      </c>
      <c r="U605" t="str">
        <f>"930030655"</f>
        <v>930030655</v>
      </c>
    </row>
    <row r="606" spans="1:21" x14ac:dyDescent="0.3">
      <c r="A606" t="str">
        <f>"940027410"</f>
        <v>940027410</v>
      </c>
      <c r="B606" t="str">
        <f>"899 583 918 00011"</f>
        <v>899 583 918 00011</v>
      </c>
      <c r="D606" t="str">
        <f>"CDS CHAMPIGNY"</f>
        <v>CDS CHAMPIGNY</v>
      </c>
      <c r="F606" t="str">
        <f>"6 RUE GERMINAL"</f>
        <v>6 RUE GERMINAL</v>
      </c>
      <c r="H606" t="str">
        <f>"94500"</f>
        <v>94500</v>
      </c>
      <c r="I606" t="str">
        <f>"CHAMPIGNY SUR MARNE"</f>
        <v>CHAMPIGNY SUR MARNE</v>
      </c>
      <c r="J606" t="str">
        <f>"01 85 52 00 09 "</f>
        <v xml:space="preserve">01 85 52 00 09 </v>
      </c>
      <c r="L606" s="1">
        <v>44477</v>
      </c>
      <c r="M606" t="str">
        <f t="shared" si="90"/>
        <v>124</v>
      </c>
      <c r="N606" t="str">
        <f t="shared" si="91"/>
        <v>Centre de Santé</v>
      </c>
      <c r="O606" t="str">
        <f t="shared" si="92"/>
        <v>60</v>
      </c>
      <c r="P606" t="str">
        <f t="shared" si="93"/>
        <v>Association Loi 1901 non Reconnue d'Utilité Publique</v>
      </c>
      <c r="Q606" t="str">
        <f t="shared" si="88"/>
        <v>36</v>
      </c>
      <c r="R606" t="str">
        <f t="shared" si="89"/>
        <v>Tarifs conventionnels assurance maladie</v>
      </c>
      <c r="U606" t="str">
        <f>"940027402"</f>
        <v>940027402</v>
      </c>
    </row>
    <row r="607" spans="1:21" x14ac:dyDescent="0.3">
      <c r="A607" t="str">
        <f>"940028566"</f>
        <v>940028566</v>
      </c>
      <c r="B607" t="str">
        <f>"899 654 586 00010"</f>
        <v>899 654 586 00010</v>
      </c>
      <c r="D607" t="str">
        <f>"CDS ESPACE MEDICO DENTAIRE DE NOGENT"</f>
        <v>CDS ESPACE MEDICO DENTAIRE DE NOGENT</v>
      </c>
      <c r="F607" t="str">
        <f>"57 GRANDE RUE CHARLES DE GAULLE"</f>
        <v>57 GRANDE RUE CHARLES DE GAULLE</v>
      </c>
      <c r="H607" t="str">
        <f>"94130"</f>
        <v>94130</v>
      </c>
      <c r="I607" t="str">
        <f>"NOGENT SUR MARNE"</f>
        <v>NOGENT SUR MARNE</v>
      </c>
      <c r="J607" t="str">
        <f>"06 58 80 15 05 "</f>
        <v xml:space="preserve">06 58 80 15 05 </v>
      </c>
      <c r="L607" s="1">
        <v>44477</v>
      </c>
      <c r="M607" t="str">
        <f t="shared" si="90"/>
        <v>124</v>
      </c>
      <c r="N607" t="str">
        <f t="shared" si="91"/>
        <v>Centre de Santé</v>
      </c>
      <c r="O607" t="str">
        <f t="shared" si="92"/>
        <v>60</v>
      </c>
      <c r="P607" t="str">
        <f t="shared" si="93"/>
        <v>Association Loi 1901 non Reconnue d'Utilité Publique</v>
      </c>
      <c r="Q607" t="str">
        <f t="shared" si="88"/>
        <v>36</v>
      </c>
      <c r="R607" t="str">
        <f t="shared" si="89"/>
        <v>Tarifs conventionnels assurance maladie</v>
      </c>
      <c r="U607" t="str">
        <f>"940028558"</f>
        <v>940028558</v>
      </c>
    </row>
    <row r="608" spans="1:21" x14ac:dyDescent="0.3">
      <c r="A608" t="str">
        <f>"950045856"</f>
        <v>950045856</v>
      </c>
      <c r="B608" t="str">
        <f>"824 330 286 00041"</f>
        <v>824 330 286 00041</v>
      </c>
      <c r="D608" t="str">
        <f>"CDS DENTAIRE ASCDM MOISSELLES"</f>
        <v>CDS DENTAIRE ASCDM MOISSELLES</v>
      </c>
      <c r="F608" t="str">
        <f>"1 ROUTE NATIONALE"</f>
        <v>1 ROUTE NATIONALE</v>
      </c>
      <c r="H608" t="str">
        <f>"95570"</f>
        <v>95570</v>
      </c>
      <c r="I608" t="str">
        <f>"MOISSELLES"</f>
        <v>MOISSELLES</v>
      </c>
      <c r="J608" t="str">
        <f>"01 84 77 15 35 "</f>
        <v xml:space="preserve">01 84 77 15 35 </v>
      </c>
      <c r="L608" s="1">
        <v>44477</v>
      </c>
      <c r="M608" t="str">
        <f t="shared" si="90"/>
        <v>124</v>
      </c>
      <c r="N608" t="str">
        <f t="shared" si="91"/>
        <v>Centre de Santé</v>
      </c>
      <c r="O608" t="str">
        <f t="shared" si="92"/>
        <v>60</v>
      </c>
      <c r="P608" t="str">
        <f t="shared" si="93"/>
        <v>Association Loi 1901 non Reconnue d'Utilité Publique</v>
      </c>
      <c r="Q608" t="str">
        <f t="shared" si="88"/>
        <v>36</v>
      </c>
      <c r="R608" t="str">
        <f t="shared" si="89"/>
        <v>Tarifs conventionnels assurance maladie</v>
      </c>
      <c r="U608" t="str">
        <f>"910023019"</f>
        <v>910023019</v>
      </c>
    </row>
    <row r="609" spans="1:21" x14ac:dyDescent="0.3">
      <c r="A609" t="str">
        <f>"670021146"</f>
        <v>670021146</v>
      </c>
      <c r="B609" t="str">
        <f>"890 245 467 00018"</f>
        <v>890 245 467 00018</v>
      </c>
      <c r="D609" t="str">
        <f>"CTRE DENTAIRE FAUTEUIL BLEU_ROBERTSAU"</f>
        <v>CTRE DENTAIRE FAUTEUIL BLEU_ROBERTSAU</v>
      </c>
      <c r="F609" t="str">
        <f>"100 ROUTE DE LA WANTZENAU"</f>
        <v>100 ROUTE DE LA WANTZENAU</v>
      </c>
      <c r="H609" t="str">
        <f>"67000"</f>
        <v>67000</v>
      </c>
      <c r="I609" t="str">
        <f>"STRASBOURG"</f>
        <v>STRASBOURG</v>
      </c>
      <c r="J609" t="str">
        <f>"03 88 61 36 61 "</f>
        <v xml:space="preserve">03 88 61 36 61 </v>
      </c>
      <c r="L609" s="1">
        <v>44475</v>
      </c>
      <c r="M609" t="str">
        <f t="shared" si="90"/>
        <v>124</v>
      </c>
      <c r="N609" t="str">
        <f t="shared" si="91"/>
        <v>Centre de Santé</v>
      </c>
      <c r="O609" t="str">
        <f>"62"</f>
        <v>62</v>
      </c>
      <c r="P609" t="str">
        <f>"Association de Droit Local"</f>
        <v>Association de Droit Local</v>
      </c>
      <c r="Q609" t="str">
        <f t="shared" si="88"/>
        <v>36</v>
      </c>
      <c r="R609" t="str">
        <f t="shared" si="89"/>
        <v>Tarifs conventionnels assurance maladie</v>
      </c>
      <c r="U609" t="str">
        <f>"670021138"</f>
        <v>670021138</v>
      </c>
    </row>
    <row r="610" spans="1:21" x14ac:dyDescent="0.3">
      <c r="A610" t="str">
        <f>"750067530"</f>
        <v>750067530</v>
      </c>
      <c r="B610" t="str">
        <f>"894 546 936 00010"</f>
        <v>894 546 936 00010</v>
      </c>
      <c r="D610" t="str">
        <f>"CDS DENTAIRE ET OPHTALMO HOTEL DE VILL"</f>
        <v>CDS DENTAIRE ET OPHTALMO HOTEL DE VILL</v>
      </c>
      <c r="F610" t="str">
        <f>"2 RUE DU POTEAU"</f>
        <v>2 RUE DU POTEAU</v>
      </c>
      <c r="H610" t="str">
        <f>"75018"</f>
        <v>75018</v>
      </c>
      <c r="I610" t="str">
        <f>"PARIS"</f>
        <v>PARIS</v>
      </c>
      <c r="J610" t="str">
        <f>"01 56 62 00 00 "</f>
        <v xml:space="preserve">01 56 62 00 00 </v>
      </c>
      <c r="L610" s="1">
        <v>44474</v>
      </c>
      <c r="M610" t="str">
        <f t="shared" si="90"/>
        <v>124</v>
      </c>
      <c r="N610" t="str">
        <f t="shared" si="91"/>
        <v>Centre de Santé</v>
      </c>
      <c r="O610" t="str">
        <f>"60"</f>
        <v>60</v>
      </c>
      <c r="P610" t="str">
        <f>"Association Loi 1901 non Reconnue d'Utilité Publique"</f>
        <v>Association Loi 1901 non Reconnue d'Utilité Publique</v>
      </c>
      <c r="Q610" t="str">
        <f t="shared" si="88"/>
        <v>36</v>
      </c>
      <c r="R610" t="str">
        <f t="shared" si="89"/>
        <v>Tarifs conventionnels assurance maladie</v>
      </c>
      <c r="U610" t="str">
        <f>"750067522"</f>
        <v>750067522</v>
      </c>
    </row>
    <row r="611" spans="1:21" x14ac:dyDescent="0.3">
      <c r="A611" t="str">
        <f>"950046037"</f>
        <v>950046037</v>
      </c>
      <c r="B611" t="str">
        <f>"899 326 193 00013"</f>
        <v>899 326 193 00013</v>
      </c>
      <c r="D611" t="str">
        <f>"CDS MEDICAL ET DENTAIRE VALONY"</f>
        <v>CDS MEDICAL ET DENTAIRE VALONY</v>
      </c>
      <c r="F611" t="str">
        <f>"1 CHEMIN DES HAYETTES"</f>
        <v>1 CHEMIN DES HAYETTES</v>
      </c>
      <c r="G611" t="str">
        <f>"CCIAL VALONY"</f>
        <v>CCIAL VALONY</v>
      </c>
      <c r="H611" t="str">
        <f>"95520"</f>
        <v>95520</v>
      </c>
      <c r="I611" t="str">
        <f>"OSNY"</f>
        <v>OSNY</v>
      </c>
      <c r="J611" t="str">
        <f>"01 30 17 89 55 "</f>
        <v xml:space="preserve">01 30 17 89 55 </v>
      </c>
      <c r="L611" s="1">
        <v>44474</v>
      </c>
      <c r="M611" t="str">
        <f t="shared" si="90"/>
        <v>124</v>
      </c>
      <c r="N611" t="str">
        <f t="shared" si="91"/>
        <v>Centre de Santé</v>
      </c>
      <c r="O611" t="str">
        <f>"60"</f>
        <v>60</v>
      </c>
      <c r="P611" t="str">
        <f>"Association Loi 1901 non Reconnue d'Utilité Publique"</f>
        <v>Association Loi 1901 non Reconnue d'Utilité Publique</v>
      </c>
      <c r="Q611" t="str">
        <f t="shared" si="88"/>
        <v>36</v>
      </c>
      <c r="R611" t="str">
        <f t="shared" si="89"/>
        <v>Tarifs conventionnels assurance maladie</v>
      </c>
      <c r="U611" t="str">
        <f>"950046029"</f>
        <v>950046029</v>
      </c>
    </row>
    <row r="612" spans="1:21" x14ac:dyDescent="0.3">
      <c r="A612" t="str">
        <f>"310031992"</f>
        <v>310031992</v>
      </c>
      <c r="D612" t="str">
        <f>"CENTRE DENTAIRE TOULOUSE LOMBEZ"</f>
        <v>CENTRE DENTAIRE TOULOUSE LOMBEZ</v>
      </c>
      <c r="F612" t="str">
        <f>"66 AVENUE DE LOMBEZ"</f>
        <v>66 AVENUE DE LOMBEZ</v>
      </c>
      <c r="H612" t="str">
        <f>"31000"</f>
        <v>31000</v>
      </c>
      <c r="I612" t="str">
        <f>"TOULOUSE"</f>
        <v>TOULOUSE</v>
      </c>
      <c r="J612" t="str">
        <f>"01 85 11 10 11 "</f>
        <v xml:space="preserve">01 85 11 10 11 </v>
      </c>
      <c r="L612" s="1">
        <v>44473</v>
      </c>
      <c r="M612" t="str">
        <f t="shared" si="90"/>
        <v>124</v>
      </c>
      <c r="N612" t="str">
        <f t="shared" si="91"/>
        <v>Centre de Santé</v>
      </c>
      <c r="O612" t="str">
        <f>"60"</f>
        <v>60</v>
      </c>
      <c r="P612" t="str">
        <f>"Association Loi 1901 non Reconnue d'Utilité Publique"</f>
        <v>Association Loi 1901 non Reconnue d'Utilité Publique</v>
      </c>
      <c r="Q612" t="str">
        <f t="shared" si="88"/>
        <v>36</v>
      </c>
      <c r="R612" t="str">
        <f t="shared" si="89"/>
        <v>Tarifs conventionnels assurance maladie</v>
      </c>
      <c r="U612" t="str">
        <f>"750060345"</f>
        <v>750060345</v>
      </c>
    </row>
    <row r="613" spans="1:21" x14ac:dyDescent="0.3">
      <c r="A613" t="str">
        <f>"980502058"</f>
        <v>980502058</v>
      </c>
      <c r="B613" t="str">
        <f>"894 959 865 00011"</f>
        <v>894 959 865 00011</v>
      </c>
      <c r="D613" t="str">
        <f>"UNONO WA MATSO"</f>
        <v>UNONO WA MATSO</v>
      </c>
      <c r="F613" t="str">
        <f>"RUE DU COLLÈGE"</f>
        <v>RUE DU COLLÈGE</v>
      </c>
      <c r="G613" t="str">
        <f>"AU DESSUS DE LA PHARMACIES DES T"</f>
        <v>AU DESSUS DE LA PHARMACIES DES T</v>
      </c>
      <c r="H613" t="str">
        <f>"97660"</f>
        <v>97660</v>
      </c>
      <c r="I613" t="str">
        <f>"BANDRELE"</f>
        <v>BANDRELE</v>
      </c>
      <c r="J613" t="str">
        <f>"02 69 60 33 10 "</f>
        <v xml:space="preserve">02 69 60 33 10 </v>
      </c>
      <c r="L613" s="1">
        <v>44473</v>
      </c>
      <c r="M613" t="str">
        <f t="shared" si="90"/>
        <v>124</v>
      </c>
      <c r="N613" t="str">
        <f t="shared" si="91"/>
        <v>Centre de Santé</v>
      </c>
      <c r="O613" t="str">
        <f>"60"</f>
        <v>60</v>
      </c>
      <c r="P613" t="str">
        <f>"Association Loi 1901 non Reconnue d'Utilité Publique"</f>
        <v>Association Loi 1901 non Reconnue d'Utilité Publique</v>
      </c>
      <c r="Q613" t="str">
        <f>"99"</f>
        <v>99</v>
      </c>
      <c r="R613" t="str">
        <f>"Indéterminé"</f>
        <v>Indéterminé</v>
      </c>
      <c r="U613" t="str">
        <f>"980502041"</f>
        <v>980502041</v>
      </c>
    </row>
    <row r="614" spans="1:21" x14ac:dyDescent="0.3">
      <c r="A614" t="str">
        <f>"310033527"</f>
        <v>310033527</v>
      </c>
      <c r="B614" t="str">
        <f>"130 030 158 00047"</f>
        <v>130 030 158 00047</v>
      </c>
      <c r="D614" t="str">
        <f>"CDS DE MA RÉGION SITUÉ À ASPET"</f>
        <v>CDS DE MA RÉGION SITUÉ À ASPET</v>
      </c>
      <c r="E614" t="str">
        <f>"LOTISSEMENT DU PONT NEUF"</f>
        <v>LOTISSEMENT DU PONT NEUF</v>
      </c>
      <c r="F614" t="str">
        <f>""</f>
        <v/>
      </c>
      <c r="H614" t="str">
        <f>"31160"</f>
        <v>31160</v>
      </c>
      <c r="I614" t="str">
        <f>"ASPET"</f>
        <v>ASPET</v>
      </c>
      <c r="J614" t="str">
        <f>"05 61 88 40 14 "</f>
        <v xml:space="preserve">05 61 88 40 14 </v>
      </c>
      <c r="L614" s="1">
        <v>44470</v>
      </c>
      <c r="M614" t="str">
        <f t="shared" si="90"/>
        <v>124</v>
      </c>
      <c r="N614" t="str">
        <f t="shared" si="91"/>
        <v>Centre de Santé</v>
      </c>
      <c r="O614" t="str">
        <f>"04"</f>
        <v>04</v>
      </c>
      <c r="P614" t="str">
        <f>"Région"</f>
        <v>Région</v>
      </c>
      <c r="Q614" t="str">
        <f t="shared" ref="Q614:Q645" si="94">"36"</f>
        <v>36</v>
      </c>
      <c r="R614" t="str">
        <f t="shared" ref="R614:R645" si="95">"Tarifs conventionnels assurance maladie"</f>
        <v>Tarifs conventionnels assurance maladie</v>
      </c>
      <c r="U614" t="str">
        <f>"310034392"</f>
        <v>310034392</v>
      </c>
    </row>
    <row r="615" spans="1:21" x14ac:dyDescent="0.3">
      <c r="A615" t="str">
        <f>"340028943"</f>
        <v>340028943</v>
      </c>
      <c r="B615" t="str">
        <f>"895 332 211 00013"</f>
        <v>895 332 211 00013</v>
      </c>
      <c r="D615" t="str">
        <f>"CDS SO CLINIC MAS ARGELLIERS"</f>
        <v>CDS SO CLINIC MAS ARGELLIERS</v>
      </c>
      <c r="F615" t="str">
        <f>"174 IMPASSE MAS D'ARGELLIERS"</f>
        <v>174 IMPASSE MAS D'ARGELLIERS</v>
      </c>
      <c r="H615" t="str">
        <f>"34070"</f>
        <v>34070</v>
      </c>
      <c r="I615" t="str">
        <f>"MONTPELLIER"</f>
        <v>MONTPELLIER</v>
      </c>
      <c r="L615" s="1">
        <v>44470</v>
      </c>
      <c r="M615" t="str">
        <f t="shared" si="90"/>
        <v>124</v>
      </c>
      <c r="N615" t="str">
        <f t="shared" si="91"/>
        <v>Centre de Santé</v>
      </c>
      <c r="O615" t="str">
        <f>"60"</f>
        <v>60</v>
      </c>
      <c r="P615" t="str">
        <f>"Association Loi 1901 non Reconnue d'Utilité Publique"</f>
        <v>Association Loi 1901 non Reconnue d'Utilité Publique</v>
      </c>
      <c r="Q615" t="str">
        <f t="shared" si="94"/>
        <v>36</v>
      </c>
      <c r="R615" t="str">
        <f t="shared" si="95"/>
        <v>Tarifs conventionnels assurance maladie</v>
      </c>
      <c r="U615" t="str">
        <f>"340028935"</f>
        <v>340028935</v>
      </c>
    </row>
    <row r="616" spans="1:21" x14ac:dyDescent="0.3">
      <c r="A616" t="str">
        <f>"770023786"</f>
        <v>770023786</v>
      </c>
      <c r="B616" t="str">
        <f>"892 486 432 00016"</f>
        <v>892 486 432 00016</v>
      </c>
      <c r="D616" t="str">
        <f>"CDS RURAL DE LA BRIE EST"</f>
        <v>CDS RURAL DE LA BRIE EST</v>
      </c>
      <c r="F616" t="str">
        <f>"PLACE SIMONE VEIL"</f>
        <v>PLACE SIMONE VEIL</v>
      </c>
      <c r="H616" t="str">
        <f>"77650"</f>
        <v>77650</v>
      </c>
      <c r="I616" t="str">
        <f>"LONGUEVILLE"</f>
        <v>LONGUEVILLE</v>
      </c>
      <c r="J616" t="str">
        <f>"06 19 22 78 12 "</f>
        <v xml:space="preserve">06 19 22 78 12 </v>
      </c>
      <c r="L616" s="1">
        <v>44470</v>
      </c>
      <c r="M616" t="str">
        <f t="shared" si="90"/>
        <v>124</v>
      </c>
      <c r="N616" t="str">
        <f t="shared" si="91"/>
        <v>Centre de Santé</v>
      </c>
      <c r="O616" t="str">
        <f>"75"</f>
        <v>75</v>
      </c>
      <c r="P616" t="str">
        <f>"Autre Société"</f>
        <v>Autre Société</v>
      </c>
      <c r="Q616" t="str">
        <f t="shared" si="94"/>
        <v>36</v>
      </c>
      <c r="R616" t="str">
        <f t="shared" si="95"/>
        <v>Tarifs conventionnels assurance maladie</v>
      </c>
      <c r="U616" t="str">
        <f>"770023778"</f>
        <v>770023778</v>
      </c>
    </row>
    <row r="617" spans="1:21" x14ac:dyDescent="0.3">
      <c r="A617" t="str">
        <f>"590066338"</f>
        <v>590066338</v>
      </c>
      <c r="B617" t="str">
        <f>"902 117 993 00011"</f>
        <v>902 117 993 00011</v>
      </c>
      <c r="D617" t="str">
        <f>"CSD VALENCIENNES"</f>
        <v>CSD VALENCIENNES</v>
      </c>
      <c r="F617" t="str">
        <f>"2 PASSAGE DE L'ARSENAL"</f>
        <v>2 PASSAGE DE L'ARSENAL</v>
      </c>
      <c r="H617" t="str">
        <f>"59300"</f>
        <v>59300</v>
      </c>
      <c r="I617" t="str">
        <f>"VALENCIENNES"</f>
        <v>VALENCIENNES</v>
      </c>
      <c r="L617" s="1">
        <v>44469</v>
      </c>
      <c r="M617" t="str">
        <f t="shared" si="90"/>
        <v>124</v>
      </c>
      <c r="N617" t="str">
        <f t="shared" si="91"/>
        <v>Centre de Santé</v>
      </c>
      <c r="O617" t="str">
        <f>"61"</f>
        <v>61</v>
      </c>
      <c r="P617" t="str">
        <f>"Association Loi 1901 Reconnue d'Utilité Publique"</f>
        <v>Association Loi 1901 Reconnue d'Utilité Publique</v>
      </c>
      <c r="Q617" t="str">
        <f t="shared" si="94"/>
        <v>36</v>
      </c>
      <c r="R617" t="str">
        <f t="shared" si="95"/>
        <v>Tarifs conventionnels assurance maladie</v>
      </c>
      <c r="U617" t="str">
        <f>"590066320"</f>
        <v>590066320</v>
      </c>
    </row>
    <row r="618" spans="1:21" x14ac:dyDescent="0.3">
      <c r="A618" t="str">
        <f>"590066353"</f>
        <v>590066353</v>
      </c>
      <c r="B618" t="str">
        <f>"900 828 435 00017"</f>
        <v>900 828 435 00017</v>
      </c>
      <c r="D618" t="str">
        <f>"CSD VILLENEUVE D'ASCQ"</f>
        <v>CSD VILLENEUVE D'ASCQ</v>
      </c>
      <c r="F618" t="str">
        <f>"58 CHAUSSÉE L'HÔTEL DE VILLE"</f>
        <v>58 CHAUSSÉE L'HÔTEL DE VILLE</v>
      </c>
      <c r="H618" t="str">
        <f>"59650"</f>
        <v>59650</v>
      </c>
      <c r="I618" t="str">
        <f>"VILLENEUVE D ASCQ"</f>
        <v>VILLENEUVE D ASCQ</v>
      </c>
      <c r="L618" s="1">
        <v>44469</v>
      </c>
      <c r="M618" t="str">
        <f t="shared" si="90"/>
        <v>124</v>
      </c>
      <c r="N618" t="str">
        <f t="shared" si="91"/>
        <v>Centre de Santé</v>
      </c>
      <c r="O618" t="str">
        <f>"61"</f>
        <v>61</v>
      </c>
      <c r="P618" t="str">
        <f>"Association Loi 1901 Reconnue d'Utilité Publique"</f>
        <v>Association Loi 1901 Reconnue d'Utilité Publique</v>
      </c>
      <c r="Q618" t="str">
        <f t="shared" si="94"/>
        <v>36</v>
      </c>
      <c r="R618" t="str">
        <f t="shared" si="95"/>
        <v>Tarifs conventionnels assurance maladie</v>
      </c>
      <c r="U618" t="str">
        <f>"590066346"</f>
        <v>590066346</v>
      </c>
    </row>
    <row r="619" spans="1:21" x14ac:dyDescent="0.3">
      <c r="A619" t="str">
        <f>"930030150"</f>
        <v>930030150</v>
      </c>
      <c r="B619" t="str">
        <f>"850 525 460 00018"</f>
        <v>850 525 460 00018</v>
      </c>
      <c r="D619" t="str">
        <f>"CDS DENTAIRE VIVO DENT"</f>
        <v>CDS DENTAIRE VIVO DENT</v>
      </c>
      <c r="F619" t="str">
        <f>"1 AVENUE LENINE"</f>
        <v>1 AVENUE LENINE</v>
      </c>
      <c r="H619" t="str">
        <f>"93200"</f>
        <v>93200</v>
      </c>
      <c r="I619" t="str">
        <f>"ST DENIS"</f>
        <v>ST DENIS</v>
      </c>
      <c r="J619" t="str">
        <f>"01 48 21 54 94 "</f>
        <v xml:space="preserve">01 48 21 54 94 </v>
      </c>
      <c r="L619" s="1">
        <v>44468</v>
      </c>
      <c r="M619" t="str">
        <f t="shared" si="90"/>
        <v>124</v>
      </c>
      <c r="N619" t="str">
        <f t="shared" si="91"/>
        <v>Centre de Santé</v>
      </c>
      <c r="O619" t="str">
        <f t="shared" ref="O619:O629" si="96">"60"</f>
        <v>60</v>
      </c>
      <c r="P619" t="str">
        <f t="shared" ref="P619:P629" si="97">"Association Loi 1901 non Reconnue d'Utilité Publique"</f>
        <v>Association Loi 1901 non Reconnue d'Utilité Publique</v>
      </c>
      <c r="Q619" t="str">
        <f t="shared" si="94"/>
        <v>36</v>
      </c>
      <c r="R619" t="str">
        <f t="shared" si="95"/>
        <v>Tarifs conventionnels assurance maladie</v>
      </c>
      <c r="U619" t="str">
        <f>"930030143"</f>
        <v>930030143</v>
      </c>
    </row>
    <row r="620" spans="1:21" x14ac:dyDescent="0.3">
      <c r="A620" t="str">
        <f>"750067126"</f>
        <v>750067126</v>
      </c>
      <c r="B620" t="str">
        <f>"891 576 589 00024"</f>
        <v>891 576 589 00024</v>
      </c>
      <c r="D620" t="str">
        <f>"CDS DENTEXELANS LAFAYETTE"</f>
        <v>CDS DENTEXELANS LAFAYETTE</v>
      </c>
      <c r="F620" t="str">
        <f>"41 RUE LA FAYETTE"</f>
        <v>41 RUE LA FAYETTE</v>
      </c>
      <c r="H620" t="str">
        <f>"75009"</f>
        <v>75009</v>
      </c>
      <c r="I620" t="str">
        <f>"PARIS"</f>
        <v>PARIS</v>
      </c>
      <c r="J620" t="str">
        <f>"06 64 39 75 09 "</f>
        <v xml:space="preserve">06 64 39 75 09 </v>
      </c>
      <c r="L620" s="1">
        <v>44467</v>
      </c>
      <c r="M620" t="str">
        <f t="shared" si="90"/>
        <v>124</v>
      </c>
      <c r="N620" t="str">
        <f t="shared" si="91"/>
        <v>Centre de Santé</v>
      </c>
      <c r="O620" t="str">
        <f t="shared" si="96"/>
        <v>60</v>
      </c>
      <c r="P620" t="str">
        <f t="shared" si="97"/>
        <v>Association Loi 1901 non Reconnue d'Utilité Publique</v>
      </c>
      <c r="Q620" t="str">
        <f t="shared" si="94"/>
        <v>36</v>
      </c>
      <c r="R620" t="str">
        <f t="shared" si="95"/>
        <v>Tarifs conventionnels assurance maladie</v>
      </c>
      <c r="U620" t="str">
        <f>"750067118"</f>
        <v>750067118</v>
      </c>
    </row>
    <row r="621" spans="1:21" x14ac:dyDescent="0.3">
      <c r="A621" t="str">
        <f>"750067415"</f>
        <v>750067415</v>
      </c>
      <c r="B621" t="str">
        <f>"894 122 449 00016"</f>
        <v>894 122 449 00016</v>
      </c>
      <c r="D621" t="str">
        <f>"CDS MEDICO DENTAIRE DENTEXELANS AVRON"</f>
        <v>CDS MEDICO DENTAIRE DENTEXELANS AVRON</v>
      </c>
      <c r="F621" t="str">
        <f>"148 RUE D AVRON"</f>
        <v>148 RUE D AVRON</v>
      </c>
      <c r="H621" t="str">
        <f>"75020"</f>
        <v>75020</v>
      </c>
      <c r="I621" t="str">
        <f>"PARIS"</f>
        <v>PARIS</v>
      </c>
      <c r="J621" t="str">
        <f>"06 64 39 75 09 "</f>
        <v xml:space="preserve">06 64 39 75 09 </v>
      </c>
      <c r="L621" s="1">
        <v>44467</v>
      </c>
      <c r="M621" t="str">
        <f t="shared" si="90"/>
        <v>124</v>
      </c>
      <c r="N621" t="str">
        <f t="shared" si="91"/>
        <v>Centre de Santé</v>
      </c>
      <c r="O621" t="str">
        <f t="shared" si="96"/>
        <v>60</v>
      </c>
      <c r="P621" t="str">
        <f t="shared" si="97"/>
        <v>Association Loi 1901 non Reconnue d'Utilité Publique</v>
      </c>
      <c r="Q621" t="str">
        <f t="shared" si="94"/>
        <v>36</v>
      </c>
      <c r="R621" t="str">
        <f t="shared" si="95"/>
        <v>Tarifs conventionnels assurance maladie</v>
      </c>
      <c r="U621" t="str">
        <f>"750067407"</f>
        <v>750067407</v>
      </c>
    </row>
    <row r="622" spans="1:21" x14ac:dyDescent="0.3">
      <c r="A622" t="str">
        <f>"750067431"</f>
        <v>750067431</v>
      </c>
      <c r="B622" t="str">
        <f>"894 121 888 00016"</f>
        <v>894 121 888 00016</v>
      </c>
      <c r="D622" t="str">
        <f>"CDS MEDICO DENTAIRE DENTEXELANS POTEAU"</f>
        <v>CDS MEDICO DENTAIRE DENTEXELANS POTEAU</v>
      </c>
      <c r="F622" t="str">
        <f>"51 RUE DU POTEAU"</f>
        <v>51 RUE DU POTEAU</v>
      </c>
      <c r="H622" t="str">
        <f>"75018"</f>
        <v>75018</v>
      </c>
      <c r="I622" t="str">
        <f>"PARIS"</f>
        <v>PARIS</v>
      </c>
      <c r="J622" t="str">
        <f>"06 64 39 75 09 "</f>
        <v xml:space="preserve">06 64 39 75 09 </v>
      </c>
      <c r="L622" s="1">
        <v>44467</v>
      </c>
      <c r="M622" t="str">
        <f t="shared" si="90"/>
        <v>124</v>
      </c>
      <c r="N622" t="str">
        <f t="shared" si="91"/>
        <v>Centre de Santé</v>
      </c>
      <c r="O622" t="str">
        <f t="shared" si="96"/>
        <v>60</v>
      </c>
      <c r="P622" t="str">
        <f t="shared" si="97"/>
        <v>Association Loi 1901 non Reconnue d'Utilité Publique</v>
      </c>
      <c r="Q622" t="str">
        <f t="shared" si="94"/>
        <v>36</v>
      </c>
      <c r="R622" t="str">
        <f t="shared" si="95"/>
        <v>Tarifs conventionnels assurance maladie</v>
      </c>
      <c r="U622" t="str">
        <f>"750067423"</f>
        <v>750067423</v>
      </c>
    </row>
    <row r="623" spans="1:21" x14ac:dyDescent="0.3">
      <c r="A623" t="str">
        <f>"930031018"</f>
        <v>930031018</v>
      </c>
      <c r="B623" t="str">
        <f>"901 176 297 00017"</f>
        <v>901 176 297 00017</v>
      </c>
      <c r="D623" t="str">
        <f>"CDS GILBERT BERGER"</f>
        <v>CDS GILBERT BERGER</v>
      </c>
      <c r="F623" t="str">
        <f>"149 AVENUE GILBERT BERGER"</f>
        <v>149 AVENUE GILBERT BERGER</v>
      </c>
      <c r="H623" t="str">
        <f>"93290"</f>
        <v>93290</v>
      </c>
      <c r="I623" t="str">
        <f>"TREMBLAY EN FRANCE"</f>
        <v>TREMBLAY EN FRANCE</v>
      </c>
      <c r="J623" t="str">
        <f>"01 85 02 22 05 "</f>
        <v xml:space="preserve">01 85 02 22 05 </v>
      </c>
      <c r="L623" s="1">
        <v>44467</v>
      </c>
      <c r="M623" t="str">
        <f t="shared" si="90"/>
        <v>124</v>
      </c>
      <c r="N623" t="str">
        <f t="shared" si="91"/>
        <v>Centre de Santé</v>
      </c>
      <c r="O623" t="str">
        <f t="shared" si="96"/>
        <v>60</v>
      </c>
      <c r="P623" t="str">
        <f t="shared" si="97"/>
        <v>Association Loi 1901 non Reconnue d'Utilité Publique</v>
      </c>
      <c r="Q623" t="str">
        <f t="shared" si="94"/>
        <v>36</v>
      </c>
      <c r="R623" t="str">
        <f t="shared" si="95"/>
        <v>Tarifs conventionnels assurance maladie</v>
      </c>
      <c r="U623" t="str">
        <f>"930031000"</f>
        <v>930031000</v>
      </c>
    </row>
    <row r="624" spans="1:21" x14ac:dyDescent="0.3">
      <c r="A624" t="str">
        <f>"410010870"</f>
        <v>410010870</v>
      </c>
      <c r="B624" t="str">
        <f>"891 961 377 00027"</f>
        <v>891 961 377 00027</v>
      </c>
      <c r="D624" t="str">
        <f>"CENTRE DENTAIRE NOYERS"</f>
        <v>CENTRE DENTAIRE NOYERS</v>
      </c>
      <c r="F624" t="str">
        <f>"10 RUE PIERRE MARIE CURIE"</f>
        <v>10 RUE PIERRE MARIE CURIE</v>
      </c>
      <c r="H624" t="str">
        <f>"41140"</f>
        <v>41140</v>
      </c>
      <c r="I624" t="str">
        <f>"NOYERS SUR CHER"</f>
        <v>NOYERS SUR CHER</v>
      </c>
      <c r="L624" s="1">
        <v>44466</v>
      </c>
      <c r="M624" t="str">
        <f t="shared" si="90"/>
        <v>124</v>
      </c>
      <c r="N624" t="str">
        <f t="shared" si="91"/>
        <v>Centre de Santé</v>
      </c>
      <c r="O624" t="str">
        <f t="shared" si="96"/>
        <v>60</v>
      </c>
      <c r="P624" t="str">
        <f t="shared" si="97"/>
        <v>Association Loi 1901 non Reconnue d'Utilité Publique</v>
      </c>
      <c r="Q624" t="str">
        <f t="shared" si="94"/>
        <v>36</v>
      </c>
      <c r="R624" t="str">
        <f t="shared" si="95"/>
        <v>Tarifs conventionnels assurance maladie</v>
      </c>
      <c r="U624" t="str">
        <f>"410010961"</f>
        <v>410010961</v>
      </c>
    </row>
    <row r="625" spans="1:21" x14ac:dyDescent="0.3">
      <c r="A625" t="str">
        <f>"920037462"</f>
        <v>920037462</v>
      </c>
      <c r="B625" t="str">
        <f>"897 531 885 00019"</f>
        <v>897 531 885 00019</v>
      </c>
      <c r="D625" t="str">
        <f>"CDS OPHTALMOLOGIQUE DENTAIRE CLAMART"</f>
        <v>CDS OPHTALMOLOGIQUE DENTAIRE CLAMART</v>
      </c>
      <c r="F625" t="str">
        <f>"46 AVENUE JEAN JAURES"</f>
        <v>46 AVENUE JEAN JAURES</v>
      </c>
      <c r="H625" t="str">
        <f>"92140"</f>
        <v>92140</v>
      </c>
      <c r="I625" t="str">
        <f>"CLAMART"</f>
        <v>CLAMART</v>
      </c>
      <c r="J625" t="str">
        <f>"01 78 90 02 60 "</f>
        <v xml:space="preserve">01 78 90 02 60 </v>
      </c>
      <c r="L625" s="1">
        <v>44466</v>
      </c>
      <c r="M625" t="str">
        <f t="shared" si="90"/>
        <v>124</v>
      </c>
      <c r="N625" t="str">
        <f t="shared" si="91"/>
        <v>Centre de Santé</v>
      </c>
      <c r="O625" t="str">
        <f t="shared" si="96"/>
        <v>60</v>
      </c>
      <c r="P625" t="str">
        <f t="shared" si="97"/>
        <v>Association Loi 1901 non Reconnue d'Utilité Publique</v>
      </c>
      <c r="Q625" t="str">
        <f t="shared" si="94"/>
        <v>36</v>
      </c>
      <c r="R625" t="str">
        <f t="shared" si="95"/>
        <v>Tarifs conventionnels assurance maladie</v>
      </c>
      <c r="U625" t="str">
        <f>"930030796"</f>
        <v>930030796</v>
      </c>
    </row>
    <row r="626" spans="1:21" x14ac:dyDescent="0.3">
      <c r="A626" t="str">
        <f>"920037587"</f>
        <v>920037587</v>
      </c>
      <c r="B626" t="str">
        <f>"900 371 907 00016"</f>
        <v>900 371 907 00016</v>
      </c>
      <c r="D626" t="str">
        <f>"CDS DENTAIRE LA GARENNE COLOMBES"</f>
        <v>CDS DENTAIRE LA GARENNE COLOMBES</v>
      </c>
      <c r="F626" t="str">
        <f>"73 BOULEVARD DE LA REPUBLIQUE"</f>
        <v>73 BOULEVARD DE LA REPUBLIQUE</v>
      </c>
      <c r="H626" t="str">
        <f>"92250"</f>
        <v>92250</v>
      </c>
      <c r="I626" t="str">
        <f>"LA GARENNE COLOMBES"</f>
        <v>LA GARENNE COLOMBES</v>
      </c>
      <c r="J626" t="str">
        <f>"06 25 46 08 05 "</f>
        <v xml:space="preserve">06 25 46 08 05 </v>
      </c>
      <c r="L626" s="1">
        <v>44466</v>
      </c>
      <c r="M626" t="str">
        <f t="shared" si="90"/>
        <v>124</v>
      </c>
      <c r="N626" t="str">
        <f t="shared" si="91"/>
        <v>Centre de Santé</v>
      </c>
      <c r="O626" t="str">
        <f t="shared" si="96"/>
        <v>60</v>
      </c>
      <c r="P626" t="str">
        <f t="shared" si="97"/>
        <v>Association Loi 1901 non Reconnue d'Utilité Publique</v>
      </c>
      <c r="Q626" t="str">
        <f t="shared" si="94"/>
        <v>36</v>
      </c>
      <c r="R626" t="str">
        <f t="shared" si="95"/>
        <v>Tarifs conventionnels assurance maladie</v>
      </c>
      <c r="U626" t="str">
        <f>"920037579"</f>
        <v>920037579</v>
      </c>
    </row>
    <row r="627" spans="1:21" x14ac:dyDescent="0.3">
      <c r="A627" t="str">
        <f>"930030119"</f>
        <v>930030119</v>
      </c>
      <c r="B627" t="str">
        <f>"885 179 333 00012"</f>
        <v>885 179 333 00012</v>
      </c>
      <c r="D627" t="str">
        <f>"CDS DAMA SANTE PLUS"</f>
        <v>CDS DAMA SANTE PLUS</v>
      </c>
      <c r="F627" t="str">
        <f>"57 RUE JULES PRINCET"</f>
        <v>57 RUE JULES PRINCET</v>
      </c>
      <c r="H627" t="str">
        <f>"93600"</f>
        <v>93600</v>
      </c>
      <c r="I627" t="str">
        <f>"AULNAY SOUS BOIS"</f>
        <v>AULNAY SOUS BOIS</v>
      </c>
      <c r="J627" t="str">
        <f>"06 95 50 66 49 "</f>
        <v xml:space="preserve">06 95 50 66 49 </v>
      </c>
      <c r="L627" s="1">
        <v>44466</v>
      </c>
      <c r="M627" t="str">
        <f t="shared" si="90"/>
        <v>124</v>
      </c>
      <c r="N627" t="str">
        <f t="shared" si="91"/>
        <v>Centre de Santé</v>
      </c>
      <c r="O627" t="str">
        <f t="shared" si="96"/>
        <v>60</v>
      </c>
      <c r="P627" t="str">
        <f t="shared" si="97"/>
        <v>Association Loi 1901 non Reconnue d'Utilité Publique</v>
      </c>
      <c r="Q627" t="str">
        <f t="shared" si="94"/>
        <v>36</v>
      </c>
      <c r="R627" t="str">
        <f t="shared" si="95"/>
        <v>Tarifs conventionnels assurance maladie</v>
      </c>
      <c r="U627" t="str">
        <f>"930030101"</f>
        <v>930030101</v>
      </c>
    </row>
    <row r="628" spans="1:21" x14ac:dyDescent="0.3">
      <c r="A628" t="str">
        <f>"280008863"</f>
        <v>280008863</v>
      </c>
      <c r="B628" t="str">
        <f>"899 002 455 00017"</f>
        <v>899 002 455 00017</v>
      </c>
      <c r="D628" t="str">
        <f>"CENTRE DE SANTÉ DENTAIRE DREUX"</f>
        <v>CENTRE DE SANTÉ DENTAIRE DREUX</v>
      </c>
      <c r="F628" t="str">
        <f>"51 GRANDE RUE MAURICE VIOLETTE"</f>
        <v>51 GRANDE RUE MAURICE VIOLETTE</v>
      </c>
      <c r="H628" t="str">
        <f>"28100"</f>
        <v>28100</v>
      </c>
      <c r="I628" t="str">
        <f>"DREUX"</f>
        <v>DREUX</v>
      </c>
      <c r="L628" s="1">
        <v>44464</v>
      </c>
      <c r="M628" t="str">
        <f t="shared" si="90"/>
        <v>124</v>
      </c>
      <c r="N628" t="str">
        <f t="shared" si="91"/>
        <v>Centre de Santé</v>
      </c>
      <c r="O628" t="str">
        <f t="shared" si="96"/>
        <v>60</v>
      </c>
      <c r="P628" t="str">
        <f t="shared" si="97"/>
        <v>Association Loi 1901 non Reconnue d'Utilité Publique</v>
      </c>
      <c r="Q628" t="str">
        <f t="shared" si="94"/>
        <v>36</v>
      </c>
      <c r="R628" t="str">
        <f t="shared" si="95"/>
        <v>Tarifs conventionnels assurance maladie</v>
      </c>
      <c r="U628" t="str">
        <f>"280008855"</f>
        <v>280008855</v>
      </c>
    </row>
    <row r="629" spans="1:21" x14ac:dyDescent="0.3">
      <c r="A629" t="str">
        <f>"930029798"</f>
        <v>930029798</v>
      </c>
      <c r="B629" t="str">
        <f>"850 558 040 00026"</f>
        <v>850 558 040 00026</v>
      </c>
      <c r="D629" t="str">
        <f>"CDS MEDICO DENTAIRE DENT'IRIS"</f>
        <v>CDS MEDICO DENTAIRE DENT'IRIS</v>
      </c>
      <c r="F629" t="str">
        <f>"213 RUE DE PARIS"</f>
        <v>213 RUE DE PARIS</v>
      </c>
      <c r="H629" t="str">
        <f>"93130"</f>
        <v>93130</v>
      </c>
      <c r="I629" t="str">
        <f>"NOISY LE SEC"</f>
        <v>NOISY LE SEC</v>
      </c>
      <c r="J629" t="str">
        <f>"06 65 77 98 95 "</f>
        <v xml:space="preserve">06 65 77 98 95 </v>
      </c>
      <c r="L629" s="1">
        <v>44463</v>
      </c>
      <c r="M629" t="str">
        <f t="shared" si="90"/>
        <v>124</v>
      </c>
      <c r="N629" t="str">
        <f t="shared" si="91"/>
        <v>Centre de Santé</v>
      </c>
      <c r="O629" t="str">
        <f t="shared" si="96"/>
        <v>60</v>
      </c>
      <c r="P629" t="str">
        <f t="shared" si="97"/>
        <v>Association Loi 1901 non Reconnue d'Utilité Publique</v>
      </c>
      <c r="Q629" t="str">
        <f t="shared" si="94"/>
        <v>36</v>
      </c>
      <c r="R629" t="str">
        <f t="shared" si="95"/>
        <v>Tarifs conventionnels assurance maladie</v>
      </c>
      <c r="U629" t="str">
        <f>"930029780"</f>
        <v>930029780</v>
      </c>
    </row>
    <row r="630" spans="1:21" x14ac:dyDescent="0.3">
      <c r="A630" t="str">
        <f>"670021336"</f>
        <v>670021336</v>
      </c>
      <c r="D630" t="str">
        <f>"CDS MEDICO-DENTAIRE SCHILTIGHEIM"</f>
        <v>CDS MEDICO-DENTAIRE SCHILTIGHEIM</v>
      </c>
      <c r="E630" t="str">
        <f>"N° 127A"</f>
        <v>N° 127A</v>
      </c>
      <c r="F630" t="str">
        <f>"127 ROUTE DU GENERAL DE GAULLE"</f>
        <v>127 ROUTE DU GENERAL DE GAULLE</v>
      </c>
      <c r="H630" t="str">
        <f>"67300"</f>
        <v>67300</v>
      </c>
      <c r="I630" t="str">
        <f>"SCHILTIGHEIM"</f>
        <v>SCHILTIGHEIM</v>
      </c>
      <c r="J630" t="str">
        <f>"03 88 60 07 25 "</f>
        <v xml:space="preserve">03 88 60 07 25 </v>
      </c>
      <c r="L630" s="1">
        <v>44461</v>
      </c>
      <c r="M630" t="str">
        <f t="shared" si="90"/>
        <v>124</v>
      </c>
      <c r="N630" t="str">
        <f t="shared" si="91"/>
        <v>Centre de Santé</v>
      </c>
      <c r="O630" t="str">
        <f>"62"</f>
        <v>62</v>
      </c>
      <c r="P630" t="str">
        <f>"Association de Droit Local"</f>
        <v>Association de Droit Local</v>
      </c>
      <c r="Q630" t="str">
        <f t="shared" si="94"/>
        <v>36</v>
      </c>
      <c r="R630" t="str">
        <f t="shared" si="95"/>
        <v>Tarifs conventionnels assurance maladie</v>
      </c>
      <c r="U630" t="str">
        <f>"670021328"</f>
        <v>670021328</v>
      </c>
    </row>
    <row r="631" spans="1:21" x14ac:dyDescent="0.3">
      <c r="A631" t="str">
        <f>"440059020"</f>
        <v>440059020</v>
      </c>
      <c r="B631" t="str">
        <f>"214 400 103 00096"</f>
        <v>214 400 103 00096</v>
      </c>
      <c r="D631" t="str">
        <f>"CENTRE MUNICIPAL DE SANTE"</f>
        <v>CENTRE MUNICIPAL DE SANTE</v>
      </c>
      <c r="F631" t="str">
        <f>"PLACE DE LA GARE"</f>
        <v>PLACE DE LA GARE</v>
      </c>
      <c r="H631" t="str">
        <f>"44740"</f>
        <v>44740</v>
      </c>
      <c r="I631" t="str">
        <f>"BATZ SUR MER"</f>
        <v>BATZ SUR MER</v>
      </c>
      <c r="L631" s="1">
        <v>44459</v>
      </c>
      <c r="M631" t="str">
        <f t="shared" si="90"/>
        <v>124</v>
      </c>
      <c r="N631" t="str">
        <f t="shared" si="91"/>
        <v>Centre de Santé</v>
      </c>
      <c r="O631" t="str">
        <f>"03"</f>
        <v>03</v>
      </c>
      <c r="P631" t="str">
        <f>"Commune"</f>
        <v>Commune</v>
      </c>
      <c r="Q631" t="str">
        <f t="shared" si="94"/>
        <v>36</v>
      </c>
      <c r="R631" t="str">
        <f t="shared" si="95"/>
        <v>Tarifs conventionnels assurance maladie</v>
      </c>
      <c r="U631" t="str">
        <f>"440059012"</f>
        <v>440059012</v>
      </c>
    </row>
    <row r="632" spans="1:21" x14ac:dyDescent="0.3">
      <c r="A632" t="str">
        <f>"470017070"</f>
        <v>470017070</v>
      </c>
      <c r="B632" t="str">
        <f>"200 068 930 00086"</f>
        <v>200 068 930 00086</v>
      </c>
      <c r="D632" t="str">
        <f>"CIDS FUMEL VALLEE DU LOT"</f>
        <v>CIDS FUMEL VALLEE DU LOT</v>
      </c>
      <c r="F632" t="str">
        <f>"134 AVENUE DE L'USINE"</f>
        <v>134 AVENUE DE L'USINE</v>
      </c>
      <c r="H632" t="str">
        <f>"47500"</f>
        <v>47500</v>
      </c>
      <c r="I632" t="str">
        <f>"FUMEL"</f>
        <v>FUMEL</v>
      </c>
      <c r="J632" t="str">
        <f>"09 74 36 10 20 "</f>
        <v xml:space="preserve">09 74 36 10 20 </v>
      </c>
      <c r="L632" s="1">
        <v>44459</v>
      </c>
      <c r="M632" t="str">
        <f t="shared" si="90"/>
        <v>124</v>
      </c>
      <c r="N632" t="str">
        <f t="shared" si="91"/>
        <v>Centre de Santé</v>
      </c>
      <c r="O632" t="str">
        <f>"03"</f>
        <v>03</v>
      </c>
      <c r="P632" t="str">
        <f>"Commune"</f>
        <v>Commune</v>
      </c>
      <c r="Q632" t="str">
        <f t="shared" si="94"/>
        <v>36</v>
      </c>
      <c r="R632" t="str">
        <f t="shared" si="95"/>
        <v>Tarifs conventionnels assurance maladie</v>
      </c>
      <c r="U632" t="str">
        <f>"470017062"</f>
        <v>470017062</v>
      </c>
    </row>
    <row r="633" spans="1:21" x14ac:dyDescent="0.3">
      <c r="A633" t="str">
        <f>"380025833"</f>
        <v>380025833</v>
      </c>
      <c r="B633" t="str">
        <f>"891 646 259 00012"</f>
        <v>891 646 259 00012</v>
      </c>
      <c r="D633" t="str">
        <f>"CENTRE DE SANTE DENTAIRE AMDG"</f>
        <v>CENTRE DE SANTE DENTAIRE AMDG</v>
      </c>
      <c r="F633" t="str">
        <f>"22 COURS JEAN JAURES"</f>
        <v>22 COURS JEAN JAURES</v>
      </c>
      <c r="H633" t="str">
        <f>"38000"</f>
        <v>38000</v>
      </c>
      <c r="I633" t="str">
        <f>"GRENOBLE"</f>
        <v>GRENOBLE</v>
      </c>
      <c r="L633" s="1">
        <v>44458</v>
      </c>
      <c r="M633" t="str">
        <f t="shared" si="90"/>
        <v>124</v>
      </c>
      <c r="N633" t="str">
        <f t="shared" si="91"/>
        <v>Centre de Santé</v>
      </c>
      <c r="O633" t="str">
        <f t="shared" ref="O633:O639" si="98">"60"</f>
        <v>60</v>
      </c>
      <c r="P633" t="str">
        <f t="shared" ref="P633:P639" si="99">"Association Loi 1901 non Reconnue d'Utilité Publique"</f>
        <v>Association Loi 1901 non Reconnue d'Utilité Publique</v>
      </c>
      <c r="Q633" t="str">
        <f t="shared" si="94"/>
        <v>36</v>
      </c>
      <c r="R633" t="str">
        <f t="shared" si="95"/>
        <v>Tarifs conventionnels assurance maladie</v>
      </c>
      <c r="U633" t="str">
        <f>"930031091"</f>
        <v>930031091</v>
      </c>
    </row>
    <row r="634" spans="1:21" x14ac:dyDescent="0.3">
      <c r="A634" t="str">
        <f>"920037504"</f>
        <v>920037504</v>
      </c>
      <c r="B634" t="str">
        <f>"898 403 332 00015"</f>
        <v>898 403 332 00015</v>
      </c>
      <c r="D634" t="str">
        <f>"CDS DENTAIRE DU PANORAMA"</f>
        <v>CDS DENTAIRE DU PANORAMA</v>
      </c>
      <c r="F634" t="str">
        <f>"152 AVENUE DU GENERAL DE GAULLE"</f>
        <v>152 AVENUE DU GENERAL DE GAULLE</v>
      </c>
      <c r="H634" t="str">
        <f>"92140"</f>
        <v>92140</v>
      </c>
      <c r="I634" t="str">
        <f>"CLAMART"</f>
        <v>CLAMART</v>
      </c>
      <c r="J634" t="str">
        <f>"06 67 97 28 31 "</f>
        <v xml:space="preserve">06 67 97 28 31 </v>
      </c>
      <c r="L634" s="1">
        <v>44456</v>
      </c>
      <c r="M634" t="str">
        <f t="shared" si="90"/>
        <v>124</v>
      </c>
      <c r="N634" t="str">
        <f t="shared" si="91"/>
        <v>Centre de Santé</v>
      </c>
      <c r="O634" t="str">
        <f t="shared" si="98"/>
        <v>60</v>
      </c>
      <c r="P634" t="str">
        <f t="shared" si="99"/>
        <v>Association Loi 1901 non Reconnue d'Utilité Publique</v>
      </c>
      <c r="Q634" t="str">
        <f t="shared" si="94"/>
        <v>36</v>
      </c>
      <c r="R634" t="str">
        <f t="shared" si="95"/>
        <v>Tarifs conventionnels assurance maladie</v>
      </c>
      <c r="U634" t="str">
        <f>"920037496"</f>
        <v>920037496</v>
      </c>
    </row>
    <row r="635" spans="1:21" x14ac:dyDescent="0.3">
      <c r="A635" t="str">
        <f>"350055406"</f>
        <v>350055406</v>
      </c>
      <c r="B635" t="str">
        <f>"901 661 942 00010"</f>
        <v>901 661 942 00010</v>
      </c>
      <c r="D635" t="str">
        <f>"CDS KERSANTE COURROUZE"</f>
        <v>CDS KERSANTE COURROUZE</v>
      </c>
      <c r="F635" t="str">
        <f>"18 AVENUE JULES MANIEZ"</f>
        <v>18 AVENUE JULES MANIEZ</v>
      </c>
      <c r="H635" t="str">
        <f>"35000"</f>
        <v>35000</v>
      </c>
      <c r="I635" t="str">
        <f>"RENNES"</f>
        <v>RENNES</v>
      </c>
      <c r="J635" t="str">
        <f>"02 30 96 93 04 "</f>
        <v xml:space="preserve">02 30 96 93 04 </v>
      </c>
      <c r="L635" s="1">
        <v>44454</v>
      </c>
      <c r="M635" t="str">
        <f t="shared" si="90"/>
        <v>124</v>
      </c>
      <c r="N635" t="str">
        <f t="shared" si="91"/>
        <v>Centre de Santé</v>
      </c>
      <c r="O635" t="str">
        <f t="shared" si="98"/>
        <v>60</v>
      </c>
      <c r="P635" t="str">
        <f t="shared" si="99"/>
        <v>Association Loi 1901 non Reconnue d'Utilité Publique</v>
      </c>
      <c r="Q635" t="str">
        <f t="shared" si="94"/>
        <v>36</v>
      </c>
      <c r="R635" t="str">
        <f t="shared" si="95"/>
        <v>Tarifs conventionnels assurance maladie</v>
      </c>
      <c r="U635" t="str">
        <f>"750068108"</f>
        <v>750068108</v>
      </c>
    </row>
    <row r="636" spans="1:21" x14ac:dyDescent="0.3">
      <c r="A636" t="str">
        <f>"350055455"</f>
        <v>350055455</v>
      </c>
      <c r="D636" t="str">
        <f>"CENTRE IMAGERIE MEDICAL RENNES"</f>
        <v>CENTRE IMAGERIE MEDICAL RENNES</v>
      </c>
      <c r="F636" t="str">
        <f>"18 RUE JULES MANIEZ"</f>
        <v>18 RUE JULES MANIEZ</v>
      </c>
      <c r="H636" t="str">
        <f>"35000"</f>
        <v>35000</v>
      </c>
      <c r="I636" t="str">
        <f>"RENNES"</f>
        <v>RENNES</v>
      </c>
      <c r="J636" t="str">
        <f>"06 48 29 08 43 "</f>
        <v xml:space="preserve">06 48 29 08 43 </v>
      </c>
      <c r="L636" s="1">
        <v>44454</v>
      </c>
      <c r="M636" t="str">
        <f t="shared" si="90"/>
        <v>124</v>
      </c>
      <c r="N636" t="str">
        <f t="shared" si="91"/>
        <v>Centre de Santé</v>
      </c>
      <c r="O636" t="str">
        <f t="shared" si="98"/>
        <v>60</v>
      </c>
      <c r="P636" t="str">
        <f t="shared" si="99"/>
        <v>Association Loi 1901 non Reconnue d'Utilité Publique</v>
      </c>
      <c r="Q636" t="str">
        <f t="shared" si="94"/>
        <v>36</v>
      </c>
      <c r="R636" t="str">
        <f t="shared" si="95"/>
        <v>Tarifs conventionnels assurance maladie</v>
      </c>
      <c r="U636" t="str">
        <f>"750067472"</f>
        <v>750067472</v>
      </c>
    </row>
    <row r="637" spans="1:21" x14ac:dyDescent="0.3">
      <c r="A637" t="str">
        <f>"570029900"</f>
        <v>570029900</v>
      </c>
      <c r="B637" t="str">
        <f>"893 686 329 00028"</f>
        <v>893 686 329 00028</v>
      </c>
      <c r="D637" t="str">
        <f>"CDS IMAGERIE MED. FREYMING MERLEBACH"</f>
        <v>CDS IMAGERIE MED. FREYMING MERLEBACH</v>
      </c>
      <c r="F637" t="str">
        <f>"1 RUE DU 5 DECEMBRE"</f>
        <v>1 RUE DU 5 DECEMBRE</v>
      </c>
      <c r="H637" t="str">
        <f>"57800"</f>
        <v>57800</v>
      </c>
      <c r="I637" t="str">
        <f>"FREYMING MERLEBACH"</f>
        <v>FREYMING MERLEBACH</v>
      </c>
      <c r="J637" t="str">
        <f>"03 87 81 67 67 "</f>
        <v xml:space="preserve">03 87 81 67 67 </v>
      </c>
      <c r="L637" s="1">
        <v>44454</v>
      </c>
      <c r="M637" t="str">
        <f t="shared" si="90"/>
        <v>124</v>
      </c>
      <c r="N637" t="str">
        <f t="shared" si="91"/>
        <v>Centre de Santé</v>
      </c>
      <c r="O637" t="str">
        <f t="shared" si="98"/>
        <v>60</v>
      </c>
      <c r="P637" t="str">
        <f t="shared" si="99"/>
        <v>Association Loi 1901 non Reconnue d'Utilité Publique</v>
      </c>
      <c r="Q637" t="str">
        <f t="shared" si="94"/>
        <v>36</v>
      </c>
      <c r="R637" t="str">
        <f t="shared" si="95"/>
        <v>Tarifs conventionnels assurance maladie</v>
      </c>
      <c r="U637" t="str">
        <f>"750067472"</f>
        <v>750067472</v>
      </c>
    </row>
    <row r="638" spans="1:21" x14ac:dyDescent="0.3">
      <c r="A638" t="str">
        <f>"930030994"</f>
        <v>930030994</v>
      </c>
      <c r="B638" t="str">
        <f>"899 389 290 00011"</f>
        <v>899 389 290 00011</v>
      </c>
      <c r="D638" t="str">
        <f>"CDS MED DENTAIRE OPHTA NEUILLY"</f>
        <v>CDS MED DENTAIRE OPHTA NEUILLY</v>
      </c>
      <c r="F638" t="str">
        <f>"17 AVENUE MARECHAL FOCH"</f>
        <v>17 AVENUE MARECHAL FOCH</v>
      </c>
      <c r="H638" t="str">
        <f>"93360"</f>
        <v>93360</v>
      </c>
      <c r="I638" t="str">
        <f>"NEUILLY PLAISANCE"</f>
        <v>NEUILLY PLAISANCE</v>
      </c>
      <c r="J638" t="str">
        <f>"01 43 00 13 74 "</f>
        <v xml:space="preserve">01 43 00 13 74 </v>
      </c>
      <c r="L638" s="1">
        <v>44454</v>
      </c>
      <c r="M638" t="str">
        <f t="shared" si="90"/>
        <v>124</v>
      </c>
      <c r="N638" t="str">
        <f t="shared" si="91"/>
        <v>Centre de Santé</v>
      </c>
      <c r="O638" t="str">
        <f t="shared" si="98"/>
        <v>60</v>
      </c>
      <c r="P638" t="str">
        <f t="shared" si="99"/>
        <v>Association Loi 1901 non Reconnue d'Utilité Publique</v>
      </c>
      <c r="Q638" t="str">
        <f t="shared" si="94"/>
        <v>36</v>
      </c>
      <c r="R638" t="str">
        <f t="shared" si="95"/>
        <v>Tarifs conventionnels assurance maladie</v>
      </c>
      <c r="U638" t="str">
        <f>"930030986"</f>
        <v>930030986</v>
      </c>
    </row>
    <row r="639" spans="1:21" x14ac:dyDescent="0.3">
      <c r="A639" t="str">
        <f>"140033168"</f>
        <v>140033168</v>
      </c>
      <c r="B639" t="str">
        <f>"313 524 753 00222"</f>
        <v>313 524 753 00222</v>
      </c>
      <c r="D639" t="str">
        <f>"CENTRE MEDICAL ET DENTAIRE COSEM CAEN"</f>
        <v>CENTRE MEDICAL ET DENTAIRE COSEM CAEN</v>
      </c>
      <c r="F639" t="str">
        <f>"51 RUE DES JACOBINS"</f>
        <v>51 RUE DES JACOBINS</v>
      </c>
      <c r="H639" t="str">
        <f>"14000"</f>
        <v>14000</v>
      </c>
      <c r="I639" t="str">
        <f>"CAEN"</f>
        <v>CAEN</v>
      </c>
      <c r="J639" t="str">
        <f>"01 55 07 16 16 "</f>
        <v xml:space="preserve">01 55 07 16 16 </v>
      </c>
      <c r="L639" s="1">
        <v>44452</v>
      </c>
      <c r="M639" t="str">
        <f t="shared" si="90"/>
        <v>124</v>
      </c>
      <c r="N639" t="str">
        <f t="shared" si="91"/>
        <v>Centre de Santé</v>
      </c>
      <c r="O639" t="str">
        <f t="shared" si="98"/>
        <v>60</v>
      </c>
      <c r="P639" t="str">
        <f t="shared" si="99"/>
        <v>Association Loi 1901 non Reconnue d'Utilité Publique</v>
      </c>
      <c r="Q639" t="str">
        <f t="shared" si="94"/>
        <v>36</v>
      </c>
      <c r="R639" t="str">
        <f t="shared" si="95"/>
        <v>Tarifs conventionnels assurance maladie</v>
      </c>
      <c r="U639" t="str">
        <f>"750819583"</f>
        <v>750819583</v>
      </c>
    </row>
    <row r="640" spans="1:21" x14ac:dyDescent="0.3">
      <c r="A640" t="str">
        <f>"310033436"</f>
        <v>310033436</v>
      </c>
      <c r="B640" t="str">
        <f>"213 103 906 00078"</f>
        <v>213 103 906 00078</v>
      </c>
      <c r="D640" t="str">
        <f>"CTRE MUNICIPAL DE SANTE DE MONTREJEAU"</f>
        <v>CTRE MUNICIPAL DE SANTE DE MONTREJEAU</v>
      </c>
      <c r="F640" t="str">
        <f>"14 AVENUE DE MAZÉRES"</f>
        <v>14 AVENUE DE MAZÉRES</v>
      </c>
      <c r="H640" t="str">
        <f>"31210"</f>
        <v>31210</v>
      </c>
      <c r="I640" t="str">
        <f>"MONTREJEAU"</f>
        <v>MONTREJEAU</v>
      </c>
      <c r="J640" t="str">
        <f>"05 36 34 00 00 "</f>
        <v xml:space="preserve">05 36 34 00 00 </v>
      </c>
      <c r="L640" s="1">
        <v>44452</v>
      </c>
      <c r="M640" t="str">
        <f t="shared" si="90"/>
        <v>124</v>
      </c>
      <c r="N640" t="str">
        <f t="shared" si="91"/>
        <v>Centre de Santé</v>
      </c>
      <c r="O640" t="str">
        <f>"03"</f>
        <v>03</v>
      </c>
      <c r="P640" t="str">
        <f>"Commune"</f>
        <v>Commune</v>
      </c>
      <c r="Q640" t="str">
        <f t="shared" si="94"/>
        <v>36</v>
      </c>
      <c r="R640" t="str">
        <f t="shared" si="95"/>
        <v>Tarifs conventionnels assurance maladie</v>
      </c>
      <c r="U640" t="str">
        <f>"310033428"</f>
        <v>310033428</v>
      </c>
    </row>
    <row r="641" spans="1:21" x14ac:dyDescent="0.3">
      <c r="A641" t="str">
        <f>"750068165"</f>
        <v>750068165</v>
      </c>
      <c r="B641" t="str">
        <f>"899 667 307 00016"</f>
        <v>899 667 307 00016</v>
      </c>
      <c r="D641" t="str">
        <f>"CDS PARIS PARMENTIER"</f>
        <v>CDS PARIS PARMENTIER</v>
      </c>
      <c r="F641" t="str">
        <f>"22 AVENUE PARMENTIER"</f>
        <v>22 AVENUE PARMENTIER</v>
      </c>
      <c r="H641" t="str">
        <f>"75011"</f>
        <v>75011</v>
      </c>
      <c r="I641" t="str">
        <f>"PARIS"</f>
        <v>PARIS</v>
      </c>
      <c r="L641" s="1">
        <v>44452</v>
      </c>
      <c r="M641" t="str">
        <f t="shared" si="90"/>
        <v>124</v>
      </c>
      <c r="N641" t="str">
        <f t="shared" si="91"/>
        <v>Centre de Santé</v>
      </c>
      <c r="O641" t="str">
        <f>"60"</f>
        <v>60</v>
      </c>
      <c r="P641" t="str">
        <f>"Association Loi 1901 non Reconnue d'Utilité Publique"</f>
        <v>Association Loi 1901 non Reconnue d'Utilité Publique</v>
      </c>
      <c r="Q641" t="str">
        <f t="shared" si="94"/>
        <v>36</v>
      </c>
      <c r="R641" t="str">
        <f t="shared" si="95"/>
        <v>Tarifs conventionnels assurance maladie</v>
      </c>
      <c r="U641" t="str">
        <f>"750068157"</f>
        <v>750068157</v>
      </c>
    </row>
    <row r="642" spans="1:21" x14ac:dyDescent="0.3">
      <c r="A642" t="str">
        <f>"780028320"</f>
        <v>780028320</v>
      </c>
      <c r="B642" t="str">
        <f>"893 954 297 00014"</f>
        <v>893 954 297 00014</v>
      </c>
      <c r="D642" t="str">
        <f>"CDS IRIS MANTES"</f>
        <v>CDS IRIS MANTES</v>
      </c>
      <c r="F642" t="str">
        <f>"15 RUE JEAN JAOUEN"</f>
        <v>15 RUE JEAN JAOUEN</v>
      </c>
      <c r="G642" t="str">
        <f>"GARE SNCF BAT SUD"</f>
        <v>GARE SNCF BAT SUD</v>
      </c>
      <c r="H642" t="str">
        <f>"78711"</f>
        <v>78711</v>
      </c>
      <c r="I642" t="str">
        <f>"MANTES LA VILLE"</f>
        <v>MANTES LA VILLE</v>
      </c>
      <c r="J642" t="str">
        <f>"07 83 84 02 06 "</f>
        <v xml:space="preserve">07 83 84 02 06 </v>
      </c>
      <c r="L642" s="1">
        <v>44452</v>
      </c>
      <c r="M642" t="str">
        <f t="shared" ref="M642:M705" si="100">"124"</f>
        <v>124</v>
      </c>
      <c r="N642" t="str">
        <f t="shared" ref="N642:N705" si="101">"Centre de Santé"</f>
        <v>Centre de Santé</v>
      </c>
      <c r="O642" t="str">
        <f>"60"</f>
        <v>60</v>
      </c>
      <c r="P642" t="str">
        <f>"Association Loi 1901 non Reconnue d'Utilité Publique"</f>
        <v>Association Loi 1901 non Reconnue d'Utilité Publique</v>
      </c>
      <c r="Q642" t="str">
        <f t="shared" si="94"/>
        <v>36</v>
      </c>
      <c r="R642" t="str">
        <f t="shared" si="95"/>
        <v>Tarifs conventionnels assurance maladie</v>
      </c>
      <c r="U642" t="str">
        <f>"750067399"</f>
        <v>750067399</v>
      </c>
    </row>
    <row r="643" spans="1:21" x14ac:dyDescent="0.3">
      <c r="A643" t="str">
        <f>"920037686"</f>
        <v>920037686</v>
      </c>
      <c r="B643" t="str">
        <f>"900 095 928 00017"</f>
        <v>900 095 928 00017</v>
      </c>
      <c r="D643" t="str">
        <f>"CDS OPHTALMO DENTAIRE DE RUEIL"</f>
        <v>CDS OPHTALMO DENTAIRE DE RUEIL</v>
      </c>
      <c r="F643" t="str">
        <f>"19 RUE JACQUES DAGUERRE"</f>
        <v>19 RUE JACQUES DAGUERRE</v>
      </c>
      <c r="H643" t="str">
        <f>"92500"</f>
        <v>92500</v>
      </c>
      <c r="I643" t="str">
        <f>"RUEIL MALMAISON"</f>
        <v>RUEIL MALMAISON</v>
      </c>
      <c r="J643" t="str">
        <f>"01 87 12 26 26 "</f>
        <v xml:space="preserve">01 87 12 26 26 </v>
      </c>
      <c r="L643" s="1">
        <v>44449</v>
      </c>
      <c r="M643" t="str">
        <f t="shared" si="100"/>
        <v>124</v>
      </c>
      <c r="N643" t="str">
        <f t="shared" si="101"/>
        <v>Centre de Santé</v>
      </c>
      <c r="O643" t="str">
        <f>"60"</f>
        <v>60</v>
      </c>
      <c r="P643" t="str">
        <f>"Association Loi 1901 non Reconnue d'Utilité Publique"</f>
        <v>Association Loi 1901 non Reconnue d'Utilité Publique</v>
      </c>
      <c r="Q643" t="str">
        <f t="shared" si="94"/>
        <v>36</v>
      </c>
      <c r="R643" t="str">
        <f t="shared" si="95"/>
        <v>Tarifs conventionnels assurance maladie</v>
      </c>
      <c r="U643" t="str">
        <f>"940028541"</f>
        <v>940028541</v>
      </c>
    </row>
    <row r="644" spans="1:21" x14ac:dyDescent="0.3">
      <c r="A644" t="str">
        <f>"830025839"</f>
        <v>830025839</v>
      </c>
      <c r="B644" t="str">
        <f>"890 239 320 00017"</f>
        <v>890 239 320 00017</v>
      </c>
      <c r="D644" t="str">
        <f>"CDS MEDICO-DENTAIRE CLINADENT TOULON"</f>
        <v>CDS MEDICO-DENTAIRE CLINADENT TOULON</v>
      </c>
      <c r="F644" t="str">
        <f>"5 AVENUE SAINT ROCH"</f>
        <v>5 AVENUE SAINT ROCH</v>
      </c>
      <c r="H644" t="str">
        <f>"83200"</f>
        <v>83200</v>
      </c>
      <c r="I644" t="str">
        <f>"TOULON"</f>
        <v>TOULON</v>
      </c>
      <c r="J644" t="str">
        <f>"06 13 13 76 84 "</f>
        <v xml:space="preserve">06 13 13 76 84 </v>
      </c>
      <c r="L644" s="1">
        <v>44447</v>
      </c>
      <c r="M644" t="str">
        <f t="shared" si="100"/>
        <v>124</v>
      </c>
      <c r="N644" t="str">
        <f t="shared" si="101"/>
        <v>Centre de Santé</v>
      </c>
      <c r="O644" t="str">
        <f>"61"</f>
        <v>61</v>
      </c>
      <c r="P644" t="str">
        <f>"Association Loi 1901 Reconnue d'Utilité Publique"</f>
        <v>Association Loi 1901 Reconnue d'Utilité Publique</v>
      </c>
      <c r="Q644" t="str">
        <f t="shared" si="94"/>
        <v>36</v>
      </c>
      <c r="R644" t="str">
        <f t="shared" si="95"/>
        <v>Tarifs conventionnels assurance maladie</v>
      </c>
      <c r="U644" t="str">
        <f>"830025821"</f>
        <v>830025821</v>
      </c>
    </row>
    <row r="645" spans="1:21" x14ac:dyDescent="0.3">
      <c r="A645" t="str">
        <f>"920037520"</f>
        <v>920037520</v>
      </c>
      <c r="B645" t="str">
        <f>"887 530 954 00023"</f>
        <v>887 530 954 00023</v>
      </c>
      <c r="D645" t="str">
        <f>"CDS INWE CARE SAINT CLOUD"</f>
        <v>CDS INWE CARE SAINT CLOUD</v>
      </c>
      <c r="F645" t="str">
        <f>"54 RUE DU 18 JUIN 1940"</f>
        <v>54 RUE DU 18 JUIN 1940</v>
      </c>
      <c r="H645" t="str">
        <f>"92210"</f>
        <v>92210</v>
      </c>
      <c r="I645" t="str">
        <f>"ST CLOUD"</f>
        <v>ST CLOUD</v>
      </c>
      <c r="L645" s="1">
        <v>44447</v>
      </c>
      <c r="M645" t="str">
        <f t="shared" si="100"/>
        <v>124</v>
      </c>
      <c r="N645" t="str">
        <f t="shared" si="101"/>
        <v>Centre de Santé</v>
      </c>
      <c r="O645" t="str">
        <f>"60"</f>
        <v>60</v>
      </c>
      <c r="P645" t="str">
        <f>"Association Loi 1901 non Reconnue d'Utilité Publique"</f>
        <v>Association Loi 1901 non Reconnue d'Utilité Publique</v>
      </c>
      <c r="Q645" t="str">
        <f t="shared" si="94"/>
        <v>36</v>
      </c>
      <c r="R645" t="str">
        <f t="shared" si="95"/>
        <v>Tarifs conventionnels assurance maladie</v>
      </c>
      <c r="U645" t="str">
        <f>"750068017"</f>
        <v>750068017</v>
      </c>
    </row>
    <row r="646" spans="1:21" x14ac:dyDescent="0.3">
      <c r="A646" t="str">
        <f>"770025724"</f>
        <v>770025724</v>
      </c>
      <c r="B646" t="str">
        <f>"899 583 934 00018"</f>
        <v>899 583 934 00018</v>
      </c>
      <c r="D646" t="str">
        <f>"CDS DENTAIRE MEAUX"</f>
        <v>CDS DENTAIRE MEAUX</v>
      </c>
      <c r="F646" t="str">
        <f>"6 RUE DU GENERAL LECLERC"</f>
        <v>6 RUE DU GENERAL LECLERC</v>
      </c>
      <c r="H646" t="str">
        <f>"77100"</f>
        <v>77100</v>
      </c>
      <c r="I646" t="str">
        <f>"MEAUX"</f>
        <v>MEAUX</v>
      </c>
      <c r="L646" s="1">
        <v>44446</v>
      </c>
      <c r="M646" t="str">
        <f t="shared" si="100"/>
        <v>124</v>
      </c>
      <c r="N646" t="str">
        <f t="shared" si="101"/>
        <v>Centre de Santé</v>
      </c>
      <c r="O646" t="str">
        <f>"60"</f>
        <v>60</v>
      </c>
      <c r="P646" t="str">
        <f>"Association Loi 1901 non Reconnue d'Utilité Publique"</f>
        <v>Association Loi 1901 non Reconnue d'Utilité Publique</v>
      </c>
      <c r="Q646" t="str">
        <f t="shared" ref="Q646:Q677" si="102">"36"</f>
        <v>36</v>
      </c>
      <c r="R646" t="str">
        <f t="shared" ref="R646:R677" si="103">"Tarifs conventionnels assurance maladie"</f>
        <v>Tarifs conventionnels assurance maladie</v>
      </c>
      <c r="U646" t="str">
        <f>"770025716"</f>
        <v>770025716</v>
      </c>
    </row>
    <row r="647" spans="1:21" x14ac:dyDescent="0.3">
      <c r="A647" t="str">
        <f>"750067860"</f>
        <v>750067860</v>
      </c>
      <c r="B647" t="str">
        <f>"890 967 425 00012"</f>
        <v>890 967 425 00012</v>
      </c>
      <c r="D647" t="str">
        <f>"CDS MEDICO DENTAIRE PARIS ALESIA"</f>
        <v>CDS MEDICO DENTAIRE PARIS ALESIA</v>
      </c>
      <c r="F647" t="str">
        <f>"71 AVENUE DU GENERAL LECLERC"</f>
        <v>71 AVENUE DU GENERAL LECLERC</v>
      </c>
      <c r="H647" t="str">
        <f>"75014"</f>
        <v>75014</v>
      </c>
      <c r="I647" t="str">
        <f>"PARIS"</f>
        <v>PARIS</v>
      </c>
      <c r="L647" s="1">
        <v>44445</v>
      </c>
      <c r="M647" t="str">
        <f t="shared" si="100"/>
        <v>124</v>
      </c>
      <c r="N647" t="str">
        <f t="shared" si="101"/>
        <v>Centre de Santé</v>
      </c>
      <c r="O647" t="str">
        <f>"60"</f>
        <v>60</v>
      </c>
      <c r="P647" t="str">
        <f>"Association Loi 1901 non Reconnue d'Utilité Publique"</f>
        <v>Association Loi 1901 non Reconnue d'Utilité Publique</v>
      </c>
      <c r="Q647" t="str">
        <f t="shared" si="102"/>
        <v>36</v>
      </c>
      <c r="R647" t="str">
        <f t="shared" si="103"/>
        <v>Tarifs conventionnels assurance maladie</v>
      </c>
      <c r="U647" t="str">
        <f>"750067852"</f>
        <v>750067852</v>
      </c>
    </row>
    <row r="648" spans="1:21" x14ac:dyDescent="0.3">
      <c r="A648" t="str">
        <f>"930030978"</f>
        <v>930030978</v>
      </c>
      <c r="B648" t="str">
        <f>"899 899 678 00010"</f>
        <v>899 899 678 00010</v>
      </c>
      <c r="D648" t="str">
        <f>"CDS OPHTALMOLOGIQUE DES 4 ROUTES"</f>
        <v>CDS OPHTALMOLOGIQUE DES 4 ROUTES</v>
      </c>
      <c r="F648" t="str">
        <f>"70 AVENUE JEAN JAURES"</f>
        <v>70 AVENUE JEAN JAURES</v>
      </c>
      <c r="H648" t="str">
        <f>"93700"</f>
        <v>93700</v>
      </c>
      <c r="I648" t="str">
        <f>"DRANCY"</f>
        <v>DRANCY</v>
      </c>
      <c r="L648" s="1">
        <v>44445</v>
      </c>
      <c r="M648" t="str">
        <f t="shared" si="100"/>
        <v>124</v>
      </c>
      <c r="N648" t="str">
        <f t="shared" si="101"/>
        <v>Centre de Santé</v>
      </c>
      <c r="O648" t="str">
        <f>"60"</f>
        <v>60</v>
      </c>
      <c r="P648" t="str">
        <f>"Association Loi 1901 non Reconnue d'Utilité Publique"</f>
        <v>Association Loi 1901 non Reconnue d'Utilité Publique</v>
      </c>
      <c r="Q648" t="str">
        <f t="shared" si="102"/>
        <v>36</v>
      </c>
      <c r="R648" t="str">
        <f t="shared" si="103"/>
        <v>Tarifs conventionnels assurance maladie</v>
      </c>
      <c r="U648" t="str">
        <f>"930030960"</f>
        <v>930030960</v>
      </c>
    </row>
    <row r="649" spans="1:21" x14ac:dyDescent="0.3">
      <c r="A649" t="str">
        <f>"800021198"</f>
        <v>800021198</v>
      </c>
      <c r="D649" t="str">
        <f>"CSD SÉRÉNITÉ AMIENS"</f>
        <v>CSD SÉRÉNITÉ AMIENS</v>
      </c>
      <c r="F649" t="str">
        <f>"44 BOULEVARD AMBROISE PARÉ"</f>
        <v>44 BOULEVARD AMBROISE PARÉ</v>
      </c>
      <c r="H649" t="str">
        <f>"80000"</f>
        <v>80000</v>
      </c>
      <c r="I649" t="str">
        <f>"AMIENS"</f>
        <v>AMIENS</v>
      </c>
      <c r="J649" t="str">
        <f>"06 52 03 09 84 "</f>
        <v xml:space="preserve">06 52 03 09 84 </v>
      </c>
      <c r="L649" s="1">
        <v>44442</v>
      </c>
      <c r="M649" t="str">
        <f t="shared" si="100"/>
        <v>124</v>
      </c>
      <c r="N649" t="str">
        <f t="shared" si="101"/>
        <v>Centre de Santé</v>
      </c>
      <c r="O649" t="str">
        <f>"61"</f>
        <v>61</v>
      </c>
      <c r="P649" t="str">
        <f>"Association Loi 1901 Reconnue d'Utilité Publique"</f>
        <v>Association Loi 1901 Reconnue d'Utilité Publique</v>
      </c>
      <c r="Q649" t="str">
        <f t="shared" si="102"/>
        <v>36</v>
      </c>
      <c r="R649" t="str">
        <f t="shared" si="103"/>
        <v>Tarifs conventionnels assurance maladie</v>
      </c>
      <c r="U649" t="str">
        <f>"800021180"</f>
        <v>800021180</v>
      </c>
    </row>
    <row r="650" spans="1:21" x14ac:dyDescent="0.3">
      <c r="A650" t="str">
        <f>"670021252"</f>
        <v>670021252</v>
      </c>
      <c r="D650" t="str">
        <f>"CDS DENTEGO STRASBOURG BROGLIE"</f>
        <v>CDS DENTEGO STRASBOURG BROGLIE</v>
      </c>
      <c r="F650" t="str">
        <f>"20 PLACE BROGLIE"</f>
        <v>20 PLACE BROGLIE</v>
      </c>
      <c r="H650" t="str">
        <f>"67000"</f>
        <v>67000</v>
      </c>
      <c r="I650" t="str">
        <f>"STRASBOURG"</f>
        <v>STRASBOURG</v>
      </c>
      <c r="J650" t="str">
        <f>"03 69 24 83 09 "</f>
        <v xml:space="preserve">03 69 24 83 09 </v>
      </c>
      <c r="L650" s="1">
        <v>44441</v>
      </c>
      <c r="M650" t="str">
        <f t="shared" si="100"/>
        <v>124</v>
      </c>
      <c r="N650" t="str">
        <f t="shared" si="101"/>
        <v>Centre de Santé</v>
      </c>
      <c r="O650" t="str">
        <f>"60"</f>
        <v>60</v>
      </c>
      <c r="P650" t="str">
        <f>"Association Loi 1901 non Reconnue d'Utilité Publique"</f>
        <v>Association Loi 1901 non Reconnue d'Utilité Publique</v>
      </c>
      <c r="Q650" t="str">
        <f t="shared" si="102"/>
        <v>36</v>
      </c>
      <c r="R650" t="str">
        <f t="shared" si="103"/>
        <v>Tarifs conventionnels assurance maladie</v>
      </c>
      <c r="U650" t="str">
        <f>"920037736"</f>
        <v>920037736</v>
      </c>
    </row>
    <row r="651" spans="1:21" x14ac:dyDescent="0.3">
      <c r="A651" t="str">
        <f>"060030566"</f>
        <v>060030566</v>
      </c>
      <c r="B651" t="str">
        <f>"891 439 655 00012"</f>
        <v>891 439 655 00012</v>
      </c>
      <c r="D651" t="str">
        <f>"CDS DENTAIRE CLINADENT NICE"</f>
        <v>CDS DENTAIRE CLINADENT NICE</v>
      </c>
      <c r="F651" t="str">
        <f>"47 AVENUE JEAN MEDECIN"</f>
        <v>47 AVENUE JEAN MEDECIN</v>
      </c>
      <c r="H651" t="str">
        <f>"06000"</f>
        <v>06000</v>
      </c>
      <c r="I651" t="str">
        <f>"NICE"</f>
        <v>NICE</v>
      </c>
      <c r="L651" s="1">
        <v>44440</v>
      </c>
      <c r="M651" t="str">
        <f t="shared" si="100"/>
        <v>124</v>
      </c>
      <c r="N651" t="str">
        <f t="shared" si="101"/>
        <v>Centre de Santé</v>
      </c>
      <c r="O651" t="str">
        <f>"61"</f>
        <v>61</v>
      </c>
      <c r="P651" t="str">
        <f>"Association Loi 1901 Reconnue d'Utilité Publique"</f>
        <v>Association Loi 1901 Reconnue d'Utilité Publique</v>
      </c>
      <c r="Q651" t="str">
        <f t="shared" si="102"/>
        <v>36</v>
      </c>
      <c r="R651" t="str">
        <f t="shared" si="103"/>
        <v>Tarifs conventionnels assurance maladie</v>
      </c>
      <c r="U651" t="str">
        <f>"060030558"</f>
        <v>060030558</v>
      </c>
    </row>
    <row r="652" spans="1:21" x14ac:dyDescent="0.3">
      <c r="A652" t="str">
        <f>"130051097"</f>
        <v>130051097</v>
      </c>
      <c r="B652" t="str">
        <f>"853 445 997 00010"</f>
        <v>853 445 997 00010</v>
      </c>
      <c r="D652" t="str">
        <f>"ASSOCIATION DE SOINS GENERAUX"</f>
        <v>ASSOCIATION DE SOINS GENERAUX</v>
      </c>
      <c r="F652" t="str">
        <f>"15 AVENUE BARRELET"</f>
        <v>15 AVENUE BARRELET</v>
      </c>
      <c r="H652" t="str">
        <f>"13700"</f>
        <v>13700</v>
      </c>
      <c r="I652" t="str">
        <f>"MARIGNANE"</f>
        <v>MARIGNANE</v>
      </c>
      <c r="J652" t="str">
        <f>"06 74 13 24 93 "</f>
        <v xml:space="preserve">06 74 13 24 93 </v>
      </c>
      <c r="L652" s="1">
        <v>44440</v>
      </c>
      <c r="M652" t="str">
        <f t="shared" si="100"/>
        <v>124</v>
      </c>
      <c r="N652" t="str">
        <f t="shared" si="101"/>
        <v>Centre de Santé</v>
      </c>
      <c r="O652" t="str">
        <f>"61"</f>
        <v>61</v>
      </c>
      <c r="P652" t="str">
        <f>"Association Loi 1901 Reconnue d'Utilité Publique"</f>
        <v>Association Loi 1901 Reconnue d'Utilité Publique</v>
      </c>
      <c r="Q652" t="str">
        <f t="shared" si="102"/>
        <v>36</v>
      </c>
      <c r="R652" t="str">
        <f t="shared" si="103"/>
        <v>Tarifs conventionnels assurance maladie</v>
      </c>
      <c r="U652" t="str">
        <f>"130051089"</f>
        <v>130051089</v>
      </c>
    </row>
    <row r="653" spans="1:21" x14ac:dyDescent="0.3">
      <c r="A653" t="str">
        <f>"270029994"</f>
        <v>270029994</v>
      </c>
      <c r="B653" t="str">
        <f>"212 703 326 00034"</f>
        <v>212 703 326 00034</v>
      </c>
      <c r="D653" t="str">
        <f>"CENTRE COMMUNAL DE SANTÉ"</f>
        <v>CENTRE COMMUNAL DE SANTÉ</v>
      </c>
      <c r="F653" t="str">
        <f>"20 ROUTE DÉPARTEMENTALE 6015"</f>
        <v>20 ROUTE DÉPARTEMENTALE 6015</v>
      </c>
      <c r="H653" t="str">
        <f>"27400"</f>
        <v>27400</v>
      </c>
      <c r="I653" t="str">
        <f>"HEUDEBOUVILLE"</f>
        <v>HEUDEBOUVILLE</v>
      </c>
      <c r="J653" t="str">
        <f>"02 32 40 17 50 "</f>
        <v xml:space="preserve">02 32 40 17 50 </v>
      </c>
      <c r="L653" s="1">
        <v>44440</v>
      </c>
      <c r="M653" t="str">
        <f t="shared" si="100"/>
        <v>124</v>
      </c>
      <c r="N653" t="str">
        <f t="shared" si="101"/>
        <v>Centre de Santé</v>
      </c>
      <c r="O653" t="str">
        <f>"03"</f>
        <v>03</v>
      </c>
      <c r="P653" t="str">
        <f>"Commune"</f>
        <v>Commune</v>
      </c>
      <c r="Q653" t="str">
        <f t="shared" si="102"/>
        <v>36</v>
      </c>
      <c r="R653" t="str">
        <f t="shared" si="103"/>
        <v>Tarifs conventionnels assurance maladie</v>
      </c>
      <c r="U653" t="str">
        <f>"270029986"</f>
        <v>270029986</v>
      </c>
    </row>
    <row r="654" spans="1:21" x14ac:dyDescent="0.3">
      <c r="A654" t="str">
        <f>"330062274"</f>
        <v>330062274</v>
      </c>
      <c r="B654" t="str">
        <f>"898 272 448 00017"</f>
        <v>898 272 448 00017</v>
      </c>
      <c r="D654" t="str">
        <f>"CDS DENTAIRE BORDEAUX MONTAIGNE"</f>
        <v>CDS DENTAIRE BORDEAUX MONTAIGNE</v>
      </c>
      <c r="F654" t="str">
        <f>"13 RUE MICHEL MONTAIGNE"</f>
        <v>13 RUE MICHEL MONTAIGNE</v>
      </c>
      <c r="H654" t="str">
        <f>"33000"</f>
        <v>33000</v>
      </c>
      <c r="I654" t="str">
        <f>"BORDEAUX"</f>
        <v>BORDEAUX</v>
      </c>
      <c r="J654" t="str">
        <f>"06 88 40 95 35 "</f>
        <v xml:space="preserve">06 88 40 95 35 </v>
      </c>
      <c r="L654" s="1">
        <v>44440</v>
      </c>
      <c r="M654" t="str">
        <f t="shared" si="100"/>
        <v>124</v>
      </c>
      <c r="N654" t="str">
        <f t="shared" si="101"/>
        <v>Centre de Santé</v>
      </c>
      <c r="O654" t="str">
        <f>"60"</f>
        <v>60</v>
      </c>
      <c r="P654" t="str">
        <f>"Association Loi 1901 non Reconnue d'Utilité Publique"</f>
        <v>Association Loi 1901 non Reconnue d'Utilité Publique</v>
      </c>
      <c r="Q654" t="str">
        <f t="shared" si="102"/>
        <v>36</v>
      </c>
      <c r="R654" t="str">
        <f t="shared" si="103"/>
        <v>Tarifs conventionnels assurance maladie</v>
      </c>
      <c r="U654" t="str">
        <f>"330062266"</f>
        <v>330062266</v>
      </c>
    </row>
    <row r="655" spans="1:21" x14ac:dyDescent="0.3">
      <c r="A655" t="str">
        <f>"420017311"</f>
        <v>420017311</v>
      </c>
      <c r="B655" t="str">
        <f>"214 201 840 00011"</f>
        <v>214 201 840 00011</v>
      </c>
      <c r="D655" t="str">
        <f>"CENTRE DE SANTE MUNICIPAL DE RIORGES"</f>
        <v>CENTRE DE SANTE MUNICIPAL DE RIORGES</v>
      </c>
      <c r="F655" t="str">
        <f>"164 RUE DU 8 MAI 1945"</f>
        <v>164 RUE DU 8 MAI 1945</v>
      </c>
      <c r="H655" t="str">
        <f>"42153"</f>
        <v>42153</v>
      </c>
      <c r="I655" t="str">
        <f>"RIORGES"</f>
        <v>RIORGES</v>
      </c>
      <c r="J655" t="str">
        <f>"04 77 23 62 43 "</f>
        <v xml:space="preserve">04 77 23 62 43 </v>
      </c>
      <c r="L655" s="1">
        <v>44440</v>
      </c>
      <c r="M655" t="str">
        <f t="shared" si="100"/>
        <v>124</v>
      </c>
      <c r="N655" t="str">
        <f t="shared" si="101"/>
        <v>Centre de Santé</v>
      </c>
      <c r="O655" t="str">
        <f>"03"</f>
        <v>03</v>
      </c>
      <c r="P655" t="str">
        <f>"Commune"</f>
        <v>Commune</v>
      </c>
      <c r="Q655" t="str">
        <f t="shared" si="102"/>
        <v>36</v>
      </c>
      <c r="R655" t="str">
        <f t="shared" si="103"/>
        <v>Tarifs conventionnels assurance maladie</v>
      </c>
      <c r="U655" t="str">
        <f>"420017303"</f>
        <v>420017303</v>
      </c>
    </row>
    <row r="656" spans="1:21" x14ac:dyDescent="0.3">
      <c r="A656" t="str">
        <f>"610009094"</f>
        <v>610009094</v>
      </c>
      <c r="B656" t="str">
        <f>"226 100 014 00175"</f>
        <v>226 100 014 00175</v>
      </c>
      <c r="D656" t="str">
        <f>"CENTRE TERRITORIAL DE RÉMALARD"</f>
        <v>CENTRE TERRITORIAL DE RÉMALARD</v>
      </c>
      <c r="F656" t="str">
        <f>""</f>
        <v/>
      </c>
      <c r="G656" t="str">
        <f>"ZA SAINT-MARC SUD"</f>
        <v>ZA SAINT-MARC SUD</v>
      </c>
      <c r="H656" t="str">
        <f>"61110"</f>
        <v>61110</v>
      </c>
      <c r="I656" t="str">
        <f>"REMALARD EN PERCHE"</f>
        <v>REMALARD EN PERCHE</v>
      </c>
      <c r="L656" s="1">
        <v>44440</v>
      </c>
      <c r="M656" t="str">
        <f t="shared" si="100"/>
        <v>124</v>
      </c>
      <c r="N656" t="str">
        <f t="shared" si="101"/>
        <v>Centre de Santé</v>
      </c>
      <c r="O656" t="str">
        <f>"02"</f>
        <v>02</v>
      </c>
      <c r="P656" t="str">
        <f>"Département"</f>
        <v>Département</v>
      </c>
      <c r="Q656" t="str">
        <f t="shared" si="102"/>
        <v>36</v>
      </c>
      <c r="R656" t="str">
        <f t="shared" si="103"/>
        <v>Tarifs conventionnels assurance maladie</v>
      </c>
      <c r="U656" t="str">
        <f>"610000911"</f>
        <v>610000911</v>
      </c>
    </row>
    <row r="657" spans="1:21" x14ac:dyDescent="0.3">
      <c r="A657" t="str">
        <f>"650006794"</f>
        <v>650006794</v>
      </c>
      <c r="B657" t="str">
        <f>"216 502 351 00093"</f>
        <v>216 502 351 00093</v>
      </c>
      <c r="D657" t="str">
        <f>"CENTRE DE SANTE MUNICIPAL LOUIS YEDRA"</f>
        <v>CENTRE DE SANTE MUNICIPAL LOUIS YEDRA</v>
      </c>
      <c r="F657" t="str">
        <f>"3 AVENUE DE LA GARE"</f>
        <v>3 AVENUE DE LA GARE</v>
      </c>
      <c r="H657" t="str">
        <f>"65290"</f>
        <v>65290</v>
      </c>
      <c r="I657" t="str">
        <f>"JUILLAN"</f>
        <v>JUILLAN</v>
      </c>
      <c r="J657" t="str">
        <f>"05 62 35 30 90 "</f>
        <v xml:space="preserve">05 62 35 30 90 </v>
      </c>
      <c r="L657" s="1">
        <v>44440</v>
      </c>
      <c r="M657" t="str">
        <f t="shared" si="100"/>
        <v>124</v>
      </c>
      <c r="N657" t="str">
        <f t="shared" si="101"/>
        <v>Centre de Santé</v>
      </c>
      <c r="O657" t="str">
        <f>"03"</f>
        <v>03</v>
      </c>
      <c r="P657" t="str">
        <f>"Commune"</f>
        <v>Commune</v>
      </c>
      <c r="Q657" t="str">
        <f t="shared" si="102"/>
        <v>36</v>
      </c>
      <c r="R657" t="str">
        <f t="shared" si="103"/>
        <v>Tarifs conventionnels assurance maladie</v>
      </c>
      <c r="U657" t="str">
        <f>"650006786"</f>
        <v>650006786</v>
      </c>
    </row>
    <row r="658" spans="1:21" x14ac:dyDescent="0.3">
      <c r="A658" t="str">
        <f>"670021203"</f>
        <v>670021203</v>
      </c>
      <c r="D658" t="str">
        <f>"CENTRE DE SANTE POLYVALENT SANITATEM"</f>
        <v>CENTRE DE SANTE POLYVALENT SANITATEM</v>
      </c>
      <c r="F658" t="str">
        <f>"16 RUE LEICESTER"</f>
        <v>16 RUE LEICESTER</v>
      </c>
      <c r="H658" t="str">
        <f>"67000"</f>
        <v>67000</v>
      </c>
      <c r="I658" t="str">
        <f>"STRASBOURG"</f>
        <v>STRASBOURG</v>
      </c>
      <c r="J658" t="str">
        <f>"09 86 58 07 67 "</f>
        <v xml:space="preserve">09 86 58 07 67 </v>
      </c>
      <c r="L658" s="1">
        <v>44440</v>
      </c>
      <c r="M658" t="str">
        <f t="shared" si="100"/>
        <v>124</v>
      </c>
      <c r="N658" t="str">
        <f t="shared" si="101"/>
        <v>Centre de Santé</v>
      </c>
      <c r="O658" t="str">
        <f>"62"</f>
        <v>62</v>
      </c>
      <c r="P658" t="str">
        <f>"Association de Droit Local"</f>
        <v>Association de Droit Local</v>
      </c>
      <c r="Q658" t="str">
        <f t="shared" si="102"/>
        <v>36</v>
      </c>
      <c r="R658" t="str">
        <f t="shared" si="103"/>
        <v>Tarifs conventionnels assurance maladie</v>
      </c>
      <c r="U658" t="str">
        <f>"670021195"</f>
        <v>670021195</v>
      </c>
    </row>
    <row r="659" spans="1:21" x14ac:dyDescent="0.3">
      <c r="A659" t="str">
        <f>"750068207"</f>
        <v>750068207</v>
      </c>
      <c r="B659" t="str">
        <f>"900 999 491 00013"</f>
        <v>900 999 491 00013</v>
      </c>
      <c r="D659" t="str">
        <f>"CDS MEDICAL VISIONEO"</f>
        <v>CDS MEDICAL VISIONEO</v>
      </c>
      <c r="F659" t="str">
        <f>"50 RUE ORDENER"</f>
        <v>50 RUE ORDENER</v>
      </c>
      <c r="H659" t="str">
        <f>"75018"</f>
        <v>75018</v>
      </c>
      <c r="I659" t="str">
        <f>"PARIS"</f>
        <v>PARIS</v>
      </c>
      <c r="J659" t="str">
        <f>"07 67 12 57 70 "</f>
        <v xml:space="preserve">07 67 12 57 70 </v>
      </c>
      <c r="L659" s="1">
        <v>44440</v>
      </c>
      <c r="M659" t="str">
        <f t="shared" si="100"/>
        <v>124</v>
      </c>
      <c r="N659" t="str">
        <f t="shared" si="101"/>
        <v>Centre de Santé</v>
      </c>
      <c r="O659" t="str">
        <f t="shared" ref="O659:O664" si="104">"60"</f>
        <v>60</v>
      </c>
      <c r="P659" t="str">
        <f t="shared" ref="P659:P664" si="105">"Association Loi 1901 non Reconnue d'Utilité Publique"</f>
        <v>Association Loi 1901 non Reconnue d'Utilité Publique</v>
      </c>
      <c r="Q659" t="str">
        <f t="shared" si="102"/>
        <v>36</v>
      </c>
      <c r="R659" t="str">
        <f t="shared" si="103"/>
        <v>Tarifs conventionnels assurance maladie</v>
      </c>
      <c r="U659" t="str">
        <f>"750068199"</f>
        <v>750068199</v>
      </c>
    </row>
    <row r="660" spans="1:21" x14ac:dyDescent="0.3">
      <c r="A660" t="str">
        <f>"910025717"</f>
        <v>910025717</v>
      </c>
      <c r="B660" t="str">
        <f>"894 821 834 00013"</f>
        <v>894 821 834 00013</v>
      </c>
      <c r="D660" t="str">
        <f>"CDS MEDICO DENTAIRE CORBEIL ESSONNES"</f>
        <v>CDS MEDICO DENTAIRE CORBEIL ESSONNES</v>
      </c>
      <c r="F660" t="str">
        <f>"1 RUE DU 14 JUILLET"</f>
        <v>1 RUE DU 14 JUILLET</v>
      </c>
      <c r="H660" t="str">
        <f>"91100"</f>
        <v>91100</v>
      </c>
      <c r="I660" t="str">
        <f>"CORBEIL ESSONNES"</f>
        <v>CORBEIL ESSONNES</v>
      </c>
      <c r="L660" s="1">
        <v>44440</v>
      </c>
      <c r="M660" t="str">
        <f t="shared" si="100"/>
        <v>124</v>
      </c>
      <c r="N660" t="str">
        <f t="shared" si="101"/>
        <v>Centre de Santé</v>
      </c>
      <c r="O660" t="str">
        <f t="shared" si="104"/>
        <v>60</v>
      </c>
      <c r="P660" t="str">
        <f t="shared" si="105"/>
        <v>Association Loi 1901 non Reconnue d'Utilité Publique</v>
      </c>
      <c r="Q660" t="str">
        <f t="shared" si="102"/>
        <v>36</v>
      </c>
      <c r="R660" t="str">
        <f t="shared" si="103"/>
        <v>Tarifs conventionnels assurance maladie</v>
      </c>
      <c r="U660" t="str">
        <f>"910025709"</f>
        <v>910025709</v>
      </c>
    </row>
    <row r="661" spans="1:21" x14ac:dyDescent="0.3">
      <c r="A661" t="str">
        <f>"920037561"</f>
        <v>920037561</v>
      </c>
      <c r="B661" t="str">
        <f>"900 400 938 00016"</f>
        <v>900 400 938 00016</v>
      </c>
      <c r="D661" t="str">
        <f>"CDS CSDMLA"</f>
        <v>CDS CSDMLA</v>
      </c>
      <c r="E661" t="str">
        <f>"22-34"</f>
        <v>22-34</v>
      </c>
      <c r="F661" t="str">
        <f>"22 RUE MAURICE LABROUSSE"</f>
        <v>22 RUE MAURICE LABROUSSE</v>
      </c>
      <c r="H661" t="str">
        <f>"92160"</f>
        <v>92160</v>
      </c>
      <c r="I661" t="str">
        <f>"ANTONY"</f>
        <v>ANTONY</v>
      </c>
      <c r="L661" s="1">
        <v>44440</v>
      </c>
      <c r="M661" t="str">
        <f t="shared" si="100"/>
        <v>124</v>
      </c>
      <c r="N661" t="str">
        <f t="shared" si="101"/>
        <v>Centre de Santé</v>
      </c>
      <c r="O661" t="str">
        <f t="shared" si="104"/>
        <v>60</v>
      </c>
      <c r="P661" t="str">
        <f t="shared" si="105"/>
        <v>Association Loi 1901 non Reconnue d'Utilité Publique</v>
      </c>
      <c r="Q661" t="str">
        <f t="shared" si="102"/>
        <v>36</v>
      </c>
      <c r="R661" t="str">
        <f t="shared" si="103"/>
        <v>Tarifs conventionnels assurance maladie</v>
      </c>
      <c r="U661" t="str">
        <f>"920037553"</f>
        <v>920037553</v>
      </c>
    </row>
    <row r="662" spans="1:21" x14ac:dyDescent="0.3">
      <c r="A662" t="str">
        <f>"940027006"</f>
        <v>940027006</v>
      </c>
      <c r="B662" t="str">
        <f>"890 709 058 00014"</f>
        <v>890 709 058 00014</v>
      </c>
      <c r="D662" t="str">
        <f>"CDS DENTAIRE ET D ORTHODONTIE VITRY"</f>
        <v>CDS DENTAIRE ET D ORTHODONTIE VITRY</v>
      </c>
      <c r="F662" t="str">
        <f>"12 RUE DE L ABBE ROGER DERRY"</f>
        <v>12 RUE DE L ABBE ROGER DERRY</v>
      </c>
      <c r="H662" t="str">
        <f>"94400"</f>
        <v>94400</v>
      </c>
      <c r="I662" t="str">
        <f>"VITRY SUR SEINE"</f>
        <v>VITRY SUR SEINE</v>
      </c>
      <c r="J662" t="str">
        <f>"06 50 03 29 82 "</f>
        <v xml:space="preserve">06 50 03 29 82 </v>
      </c>
      <c r="L662" s="1">
        <v>44440</v>
      </c>
      <c r="M662" t="str">
        <f t="shared" si="100"/>
        <v>124</v>
      </c>
      <c r="N662" t="str">
        <f t="shared" si="101"/>
        <v>Centre de Santé</v>
      </c>
      <c r="O662" t="str">
        <f t="shared" si="104"/>
        <v>60</v>
      </c>
      <c r="P662" t="str">
        <f t="shared" si="105"/>
        <v>Association Loi 1901 non Reconnue d'Utilité Publique</v>
      </c>
      <c r="Q662" t="str">
        <f t="shared" si="102"/>
        <v>36</v>
      </c>
      <c r="R662" t="str">
        <f t="shared" si="103"/>
        <v>Tarifs conventionnels assurance maladie</v>
      </c>
      <c r="U662" t="str">
        <f>"940026990"</f>
        <v>940026990</v>
      </c>
    </row>
    <row r="663" spans="1:21" x14ac:dyDescent="0.3">
      <c r="A663" t="str">
        <f>"940027386"</f>
        <v>940027386</v>
      </c>
      <c r="B663" t="str">
        <f>"898 080 304 00014"</f>
        <v>898 080 304 00014</v>
      </c>
      <c r="D663" t="str">
        <f>"CDS DE KINESITHERAPIE IVRY"</f>
        <v>CDS DE KINESITHERAPIE IVRY</v>
      </c>
      <c r="F663" t="str">
        <f>"32 RUE LEDRU ROLLIN"</f>
        <v>32 RUE LEDRU ROLLIN</v>
      </c>
      <c r="H663" t="str">
        <f>"94200"</f>
        <v>94200</v>
      </c>
      <c r="I663" t="str">
        <f>"IVRY SUR SEINE"</f>
        <v>IVRY SUR SEINE</v>
      </c>
      <c r="J663" t="str">
        <f>"01 88 15 01 22 "</f>
        <v xml:space="preserve">01 88 15 01 22 </v>
      </c>
      <c r="L663" s="1">
        <v>44440</v>
      </c>
      <c r="M663" t="str">
        <f t="shared" si="100"/>
        <v>124</v>
      </c>
      <c r="N663" t="str">
        <f t="shared" si="101"/>
        <v>Centre de Santé</v>
      </c>
      <c r="O663" t="str">
        <f t="shared" si="104"/>
        <v>60</v>
      </c>
      <c r="P663" t="str">
        <f t="shared" si="105"/>
        <v>Association Loi 1901 non Reconnue d'Utilité Publique</v>
      </c>
      <c r="Q663" t="str">
        <f t="shared" si="102"/>
        <v>36</v>
      </c>
      <c r="R663" t="str">
        <f t="shared" si="103"/>
        <v>Tarifs conventionnels assurance maladie</v>
      </c>
      <c r="U663" t="str">
        <f>"940027378"</f>
        <v>940027378</v>
      </c>
    </row>
    <row r="664" spans="1:21" x14ac:dyDescent="0.3">
      <c r="A664" t="str">
        <f>"950045914"</f>
        <v>950045914</v>
      </c>
      <c r="B664" t="str">
        <f>"897 437 133 00019"</f>
        <v>897 437 133 00019</v>
      </c>
      <c r="D664" t="str">
        <f>"CDS OPHTALMOLOGIQUE EAUBONNE"</f>
        <v>CDS OPHTALMOLOGIQUE EAUBONNE</v>
      </c>
      <c r="F664" t="str">
        <f>"12 AVENUE VOLTAIRE"</f>
        <v>12 AVENUE VOLTAIRE</v>
      </c>
      <c r="H664" t="str">
        <f>"95600"</f>
        <v>95600</v>
      </c>
      <c r="I664" t="str">
        <f>"EAUBONNE"</f>
        <v>EAUBONNE</v>
      </c>
      <c r="J664" t="str">
        <f>"01 34 28 06 32 "</f>
        <v xml:space="preserve">01 34 28 06 32 </v>
      </c>
      <c r="L664" s="1">
        <v>44440</v>
      </c>
      <c r="M664" t="str">
        <f t="shared" si="100"/>
        <v>124</v>
      </c>
      <c r="N664" t="str">
        <f t="shared" si="101"/>
        <v>Centre de Santé</v>
      </c>
      <c r="O664" t="str">
        <f t="shared" si="104"/>
        <v>60</v>
      </c>
      <c r="P664" t="str">
        <f t="shared" si="105"/>
        <v>Association Loi 1901 non Reconnue d'Utilité Publique</v>
      </c>
      <c r="Q664" t="str">
        <f t="shared" si="102"/>
        <v>36</v>
      </c>
      <c r="R664" t="str">
        <f t="shared" si="103"/>
        <v>Tarifs conventionnels assurance maladie</v>
      </c>
      <c r="U664" t="str">
        <f>"950045906"</f>
        <v>950045906</v>
      </c>
    </row>
    <row r="665" spans="1:21" x14ac:dyDescent="0.3">
      <c r="A665" t="str">
        <f>"220024905"</f>
        <v>220024905</v>
      </c>
      <c r="B665" t="str">
        <f>"262 200 678 00031"</f>
        <v>262 200 678 00031</v>
      </c>
      <c r="D665" t="str">
        <f>"CENTRE SANTE PAYS EVRAN"</f>
        <v>CENTRE SANTE PAYS EVRAN</v>
      </c>
      <c r="F665" t="str">
        <f>"4 RUE DU FOUR DAVIER"</f>
        <v>4 RUE DU FOUR DAVIER</v>
      </c>
      <c r="H665" t="str">
        <f>"22630"</f>
        <v>22630</v>
      </c>
      <c r="I665" t="str">
        <f>"EVRAN"</f>
        <v>EVRAN</v>
      </c>
      <c r="J665" t="str">
        <f>"02 57 69 02 30 "</f>
        <v xml:space="preserve">02 57 69 02 30 </v>
      </c>
      <c r="L665" s="1">
        <v>44438</v>
      </c>
      <c r="M665" t="str">
        <f t="shared" si="100"/>
        <v>124</v>
      </c>
      <c r="N665" t="str">
        <f t="shared" si="101"/>
        <v>Centre de Santé</v>
      </c>
      <c r="O665" t="str">
        <f>"17"</f>
        <v>17</v>
      </c>
      <c r="P665" t="str">
        <f>"Centre Communal d'Action Sociale"</f>
        <v>Centre Communal d'Action Sociale</v>
      </c>
      <c r="Q665" t="str">
        <f t="shared" si="102"/>
        <v>36</v>
      </c>
      <c r="R665" t="str">
        <f t="shared" si="103"/>
        <v>Tarifs conventionnels assurance maladie</v>
      </c>
      <c r="U665" t="str">
        <f>"220006340"</f>
        <v>220006340</v>
      </c>
    </row>
    <row r="666" spans="1:21" x14ac:dyDescent="0.3">
      <c r="A666" t="str">
        <f>"290038033"</f>
        <v>290038033</v>
      </c>
      <c r="D666" t="str">
        <f>"CDS DENTAIRE ABER DENT"</f>
        <v>CDS DENTAIRE ABER DENT</v>
      </c>
      <c r="F666" t="str">
        <f>"RUE JOSEPH KERSEBET"</f>
        <v>RUE JOSEPH KERSEBET</v>
      </c>
      <c r="G666" t="str">
        <f>"ZAC DE KERVENT"</f>
        <v>ZAC DE KERVENT</v>
      </c>
      <c r="H666" t="str">
        <f>"29250"</f>
        <v>29250</v>
      </c>
      <c r="I666" t="str">
        <f>"ST POL DE LEON"</f>
        <v>ST POL DE LEON</v>
      </c>
      <c r="L666" s="1">
        <v>44438</v>
      </c>
      <c r="M666" t="str">
        <f t="shared" si="100"/>
        <v>124</v>
      </c>
      <c r="N666" t="str">
        <f t="shared" si="101"/>
        <v>Centre de Santé</v>
      </c>
      <c r="O666" t="str">
        <f>"60"</f>
        <v>60</v>
      </c>
      <c r="P666" t="str">
        <f>"Association Loi 1901 non Reconnue d'Utilité Publique"</f>
        <v>Association Loi 1901 non Reconnue d'Utilité Publique</v>
      </c>
      <c r="Q666" t="str">
        <f t="shared" si="102"/>
        <v>36</v>
      </c>
      <c r="R666" t="str">
        <f t="shared" si="103"/>
        <v>Tarifs conventionnels assurance maladie</v>
      </c>
      <c r="U666" t="str">
        <f>"440059533"</f>
        <v>440059533</v>
      </c>
    </row>
    <row r="667" spans="1:21" x14ac:dyDescent="0.3">
      <c r="A667" t="str">
        <f>"920037611"</f>
        <v>920037611</v>
      </c>
      <c r="B667" t="str">
        <f>"852 886 332 00026"</f>
        <v>852 886 332 00026</v>
      </c>
      <c r="D667" t="str">
        <f>"CDS DENTAIRE NEUILLY SUR SEINE"</f>
        <v>CDS DENTAIRE NEUILLY SUR SEINE</v>
      </c>
      <c r="F667" t="str">
        <f>"39 AVENUE DU ROULE"</f>
        <v>39 AVENUE DU ROULE</v>
      </c>
      <c r="H667" t="str">
        <f>"92200"</f>
        <v>92200</v>
      </c>
      <c r="I667" t="str">
        <f>"NEUILLY SUR SEINE"</f>
        <v>NEUILLY SUR SEINE</v>
      </c>
      <c r="J667" t="str">
        <f>"06 72 70 50 25 "</f>
        <v xml:space="preserve">06 72 70 50 25 </v>
      </c>
      <c r="L667" s="1">
        <v>44435</v>
      </c>
      <c r="M667" t="str">
        <f t="shared" si="100"/>
        <v>124</v>
      </c>
      <c r="N667" t="str">
        <f t="shared" si="101"/>
        <v>Centre de Santé</v>
      </c>
      <c r="O667" t="str">
        <f>"60"</f>
        <v>60</v>
      </c>
      <c r="P667" t="str">
        <f>"Association Loi 1901 non Reconnue d'Utilité Publique"</f>
        <v>Association Loi 1901 non Reconnue d'Utilité Publique</v>
      </c>
      <c r="Q667" t="str">
        <f t="shared" si="102"/>
        <v>36</v>
      </c>
      <c r="R667" t="str">
        <f t="shared" si="103"/>
        <v>Tarifs conventionnels assurance maladie</v>
      </c>
      <c r="U667" t="str">
        <f>"920037603"</f>
        <v>920037603</v>
      </c>
    </row>
    <row r="668" spans="1:21" x14ac:dyDescent="0.3">
      <c r="A668" t="str">
        <f>"600015952"</f>
        <v>600015952</v>
      </c>
      <c r="B668" t="str">
        <f>"895 154 755 00014"</f>
        <v>895 154 755 00014</v>
      </c>
      <c r="D668" t="str">
        <f>"CSD BEAUVAIS"</f>
        <v>CSD BEAUVAIS</v>
      </c>
      <c r="F668" t="str">
        <f>"20 AVENUE DESCARTES"</f>
        <v>20 AVENUE DESCARTES</v>
      </c>
      <c r="H668" t="str">
        <f>"60000"</f>
        <v>60000</v>
      </c>
      <c r="I668" t="str">
        <f>"BEAUVAIS"</f>
        <v>BEAUVAIS</v>
      </c>
      <c r="J668" t="str">
        <f>"03 75 15 03 90 "</f>
        <v xml:space="preserve">03 75 15 03 90 </v>
      </c>
      <c r="L668" s="1">
        <v>44432</v>
      </c>
      <c r="M668" t="str">
        <f t="shared" si="100"/>
        <v>124</v>
      </c>
      <c r="N668" t="str">
        <f t="shared" si="101"/>
        <v>Centre de Santé</v>
      </c>
      <c r="O668" t="str">
        <f>"61"</f>
        <v>61</v>
      </c>
      <c r="P668" t="str">
        <f>"Association Loi 1901 Reconnue d'Utilité Publique"</f>
        <v>Association Loi 1901 Reconnue d'Utilité Publique</v>
      </c>
      <c r="Q668" t="str">
        <f t="shared" si="102"/>
        <v>36</v>
      </c>
      <c r="R668" t="str">
        <f t="shared" si="103"/>
        <v>Tarifs conventionnels assurance maladie</v>
      </c>
      <c r="U668" t="str">
        <f>"600015945"</f>
        <v>600015945</v>
      </c>
    </row>
    <row r="669" spans="1:21" x14ac:dyDescent="0.3">
      <c r="A669" t="str">
        <f>"750068181"</f>
        <v>750068181</v>
      </c>
      <c r="B669" t="str">
        <f>"899 735 773 00017"</f>
        <v>899 735 773 00017</v>
      </c>
      <c r="D669" t="str">
        <f>"CDS CLINADENT PARIS FELIX FAURE"</f>
        <v>CDS CLINADENT PARIS FELIX FAURE</v>
      </c>
      <c r="F669" t="str">
        <f>"88 AVENUE FELIX FAURE"</f>
        <v>88 AVENUE FELIX FAURE</v>
      </c>
      <c r="H669" t="str">
        <f>"75015"</f>
        <v>75015</v>
      </c>
      <c r="I669" t="str">
        <f>"PARIS"</f>
        <v>PARIS</v>
      </c>
      <c r="J669" t="str">
        <f>"06 50 86 74 94 "</f>
        <v xml:space="preserve">06 50 86 74 94 </v>
      </c>
      <c r="L669" s="1">
        <v>44431</v>
      </c>
      <c r="M669" t="str">
        <f t="shared" si="100"/>
        <v>124</v>
      </c>
      <c r="N669" t="str">
        <f t="shared" si="101"/>
        <v>Centre de Santé</v>
      </c>
      <c r="O669" t="str">
        <f t="shared" ref="O669:O679" si="106">"60"</f>
        <v>60</v>
      </c>
      <c r="P669" t="str">
        <f t="shared" ref="P669:P679" si="107">"Association Loi 1901 non Reconnue d'Utilité Publique"</f>
        <v>Association Loi 1901 non Reconnue d'Utilité Publique</v>
      </c>
      <c r="Q669" t="str">
        <f t="shared" si="102"/>
        <v>36</v>
      </c>
      <c r="R669" t="str">
        <f t="shared" si="103"/>
        <v>Tarifs conventionnels assurance maladie</v>
      </c>
      <c r="U669" t="str">
        <f>"750068173"</f>
        <v>750068173</v>
      </c>
    </row>
    <row r="670" spans="1:21" x14ac:dyDescent="0.3">
      <c r="A670" t="str">
        <f>"920036985"</f>
        <v>920036985</v>
      </c>
      <c r="B670" t="str">
        <f>"891 111 106 00011"</f>
        <v>891 111 106 00011</v>
      </c>
      <c r="D670" t="str">
        <f>"CDS UN MONDE MEILLEUR DENTAL VISION"</f>
        <v>CDS UN MONDE MEILLEUR DENTAL VISION</v>
      </c>
      <c r="F670" t="str">
        <f>"46 RUE SALVADOR ALLENDE"</f>
        <v>46 RUE SALVADOR ALLENDE</v>
      </c>
      <c r="H670" t="str">
        <f>"92000"</f>
        <v>92000</v>
      </c>
      <c r="I670" t="str">
        <f>"NANTERRE"</f>
        <v>NANTERRE</v>
      </c>
      <c r="L670" s="1">
        <v>44431</v>
      </c>
      <c r="M670" t="str">
        <f t="shared" si="100"/>
        <v>124</v>
      </c>
      <c r="N670" t="str">
        <f t="shared" si="101"/>
        <v>Centre de Santé</v>
      </c>
      <c r="O670" t="str">
        <f t="shared" si="106"/>
        <v>60</v>
      </c>
      <c r="P670" t="str">
        <f t="shared" si="107"/>
        <v>Association Loi 1901 non Reconnue d'Utilité Publique</v>
      </c>
      <c r="Q670" t="str">
        <f t="shared" si="102"/>
        <v>36</v>
      </c>
      <c r="R670" t="str">
        <f t="shared" si="103"/>
        <v>Tarifs conventionnels assurance maladie</v>
      </c>
      <c r="U670" t="str">
        <f>"920036977"</f>
        <v>920036977</v>
      </c>
    </row>
    <row r="671" spans="1:21" x14ac:dyDescent="0.3">
      <c r="A671" t="str">
        <f>"140033382"</f>
        <v>140033382</v>
      </c>
      <c r="B671" t="str">
        <f>"898 999 776 00013"</f>
        <v>898 999 776 00013</v>
      </c>
      <c r="D671" t="str">
        <f>"ASSOCIATION CENTRE DENTAIRE"</f>
        <v>ASSOCIATION CENTRE DENTAIRE</v>
      </c>
      <c r="F671" t="str">
        <f>"23 RUE EMILE CHENEL"</f>
        <v>23 RUE EMILE CHENEL</v>
      </c>
      <c r="H671" t="str">
        <f>"14500"</f>
        <v>14500</v>
      </c>
      <c r="I671" t="str">
        <f>"VIRE NORMANDIE"</f>
        <v>VIRE NORMANDIE</v>
      </c>
      <c r="L671" s="1">
        <v>44424</v>
      </c>
      <c r="M671" t="str">
        <f t="shared" si="100"/>
        <v>124</v>
      </c>
      <c r="N671" t="str">
        <f t="shared" si="101"/>
        <v>Centre de Santé</v>
      </c>
      <c r="O671" t="str">
        <f t="shared" si="106"/>
        <v>60</v>
      </c>
      <c r="P671" t="str">
        <f t="shared" si="107"/>
        <v>Association Loi 1901 non Reconnue d'Utilité Publique</v>
      </c>
      <c r="Q671" t="str">
        <f t="shared" si="102"/>
        <v>36</v>
      </c>
      <c r="R671" t="str">
        <f t="shared" si="103"/>
        <v>Tarifs conventionnels assurance maladie</v>
      </c>
      <c r="U671" t="str">
        <f>"140033374"</f>
        <v>140033374</v>
      </c>
    </row>
    <row r="672" spans="1:21" x14ac:dyDescent="0.3">
      <c r="A672" t="str">
        <f>"270030042"</f>
        <v>270030042</v>
      </c>
      <c r="B672" t="str">
        <f>"898 555 628 00012"</f>
        <v>898 555 628 00012</v>
      </c>
      <c r="D672" t="str">
        <f>"CENTRE DE SANTE DENTAIRE EVREUX"</f>
        <v>CENTRE DE SANTE DENTAIRE EVREUX</v>
      </c>
      <c r="F672" t="str">
        <f>"6 RUE DU DOCTEUR LERAT"</f>
        <v>6 RUE DU DOCTEUR LERAT</v>
      </c>
      <c r="H672" t="str">
        <f>"27000"</f>
        <v>27000</v>
      </c>
      <c r="I672" t="str">
        <f>"EVREUX"</f>
        <v>EVREUX</v>
      </c>
      <c r="J672" t="str">
        <f>"06 88 40 95 35 "</f>
        <v xml:space="preserve">06 88 40 95 35 </v>
      </c>
      <c r="L672" s="1">
        <v>44420</v>
      </c>
      <c r="M672" t="str">
        <f t="shared" si="100"/>
        <v>124</v>
      </c>
      <c r="N672" t="str">
        <f t="shared" si="101"/>
        <v>Centre de Santé</v>
      </c>
      <c r="O672" t="str">
        <f t="shared" si="106"/>
        <v>60</v>
      </c>
      <c r="P672" t="str">
        <f t="shared" si="107"/>
        <v>Association Loi 1901 non Reconnue d'Utilité Publique</v>
      </c>
      <c r="Q672" t="str">
        <f t="shared" si="102"/>
        <v>36</v>
      </c>
      <c r="R672" t="str">
        <f t="shared" si="103"/>
        <v>Tarifs conventionnels assurance maladie</v>
      </c>
      <c r="U672" t="str">
        <f>"270030034"</f>
        <v>270030034</v>
      </c>
    </row>
    <row r="673" spans="1:21" x14ac:dyDescent="0.3">
      <c r="A673" t="str">
        <f>"840022032"</f>
        <v>840022032</v>
      </c>
      <c r="B673" t="str">
        <f>"783 241 961 00029"</f>
        <v>783 241 961 00029</v>
      </c>
      <c r="D673" t="str">
        <f>"CDS MADELEINE BRES"</f>
        <v>CDS MADELEINE BRES</v>
      </c>
      <c r="F673" t="str">
        <f>"514 AVENUE DE CHAMPLAIN"</f>
        <v>514 AVENUE DE CHAMPLAIN</v>
      </c>
      <c r="H673" t="str">
        <f>"84100"</f>
        <v>84100</v>
      </c>
      <c r="I673" t="str">
        <f>"ORANGE"</f>
        <v>ORANGE</v>
      </c>
      <c r="J673" t="str">
        <f>"06 21 79 51 51 "</f>
        <v xml:space="preserve">06 21 79 51 51 </v>
      </c>
      <c r="L673" s="1">
        <v>44412</v>
      </c>
      <c r="M673" t="str">
        <f t="shared" si="100"/>
        <v>124</v>
      </c>
      <c r="N673" t="str">
        <f t="shared" si="101"/>
        <v>Centre de Santé</v>
      </c>
      <c r="O673" t="str">
        <f t="shared" si="106"/>
        <v>60</v>
      </c>
      <c r="P673" t="str">
        <f t="shared" si="107"/>
        <v>Association Loi 1901 non Reconnue d'Utilité Publique</v>
      </c>
      <c r="Q673" t="str">
        <f t="shared" si="102"/>
        <v>36</v>
      </c>
      <c r="R673" t="str">
        <f t="shared" si="103"/>
        <v>Tarifs conventionnels assurance maladie</v>
      </c>
      <c r="U673" t="str">
        <f>"840001416"</f>
        <v>840001416</v>
      </c>
    </row>
    <row r="674" spans="1:21" x14ac:dyDescent="0.3">
      <c r="A674" t="str">
        <f>"130051642"</f>
        <v>130051642</v>
      </c>
      <c r="B674" t="str">
        <f>"313 524 753 00073"</f>
        <v>313 524 753 00073</v>
      </c>
      <c r="D674" t="str">
        <f>"CENTRE COSEM MARSEILLE"</f>
        <v>CENTRE COSEM MARSEILLE</v>
      </c>
      <c r="F674" t="str">
        <f>"24 PLACE CASTELLANE"</f>
        <v>24 PLACE CASTELLANE</v>
      </c>
      <c r="H674" t="str">
        <f>"13006"</f>
        <v>13006</v>
      </c>
      <c r="I674" t="str">
        <f>"MARSEILLE"</f>
        <v>MARSEILLE</v>
      </c>
      <c r="J674" t="str">
        <f>"01 55 56 62 50 "</f>
        <v xml:space="preserve">01 55 56 62 50 </v>
      </c>
      <c r="L674" s="1">
        <v>44410</v>
      </c>
      <c r="M674" t="str">
        <f t="shared" si="100"/>
        <v>124</v>
      </c>
      <c r="N674" t="str">
        <f t="shared" si="101"/>
        <v>Centre de Santé</v>
      </c>
      <c r="O674" t="str">
        <f t="shared" si="106"/>
        <v>60</v>
      </c>
      <c r="P674" t="str">
        <f t="shared" si="107"/>
        <v>Association Loi 1901 non Reconnue d'Utilité Publique</v>
      </c>
      <c r="Q674" t="str">
        <f t="shared" si="102"/>
        <v>36</v>
      </c>
      <c r="R674" t="str">
        <f t="shared" si="103"/>
        <v>Tarifs conventionnels assurance maladie</v>
      </c>
      <c r="U674" t="str">
        <f>"750819583"</f>
        <v>750819583</v>
      </c>
    </row>
    <row r="675" spans="1:21" x14ac:dyDescent="0.3">
      <c r="A675" t="str">
        <f>"640021143"</f>
        <v>640021143</v>
      </c>
      <c r="B675" t="str">
        <f>"830 073 276 00255"</f>
        <v>830 073 276 00255</v>
      </c>
      <c r="D675" t="str">
        <f>"CENTRE DE SANTE DENTAIRE D'ANGLET"</f>
        <v>CENTRE DE SANTE DENTAIRE D'ANGLET</v>
      </c>
      <c r="F675" t="str">
        <f>"12 AVENUE DE MINERVA"</f>
        <v>12 AVENUE DE MINERVA</v>
      </c>
      <c r="H675" t="str">
        <f>"64600"</f>
        <v>64600</v>
      </c>
      <c r="I675" t="str">
        <f>"ANGLET"</f>
        <v>ANGLET</v>
      </c>
      <c r="J675" t="str">
        <f>"01 85 11 10 11 "</f>
        <v xml:space="preserve">01 85 11 10 11 </v>
      </c>
      <c r="L675" s="1">
        <v>44410</v>
      </c>
      <c r="M675" t="str">
        <f t="shared" si="100"/>
        <v>124</v>
      </c>
      <c r="N675" t="str">
        <f t="shared" si="101"/>
        <v>Centre de Santé</v>
      </c>
      <c r="O675" t="str">
        <f t="shared" si="106"/>
        <v>60</v>
      </c>
      <c r="P675" t="str">
        <f t="shared" si="107"/>
        <v>Association Loi 1901 non Reconnue d'Utilité Publique</v>
      </c>
      <c r="Q675" t="str">
        <f t="shared" si="102"/>
        <v>36</v>
      </c>
      <c r="R675" t="str">
        <f t="shared" si="103"/>
        <v>Tarifs conventionnels assurance maladie</v>
      </c>
      <c r="U675" t="str">
        <f>"750060345"</f>
        <v>750060345</v>
      </c>
    </row>
    <row r="676" spans="1:21" x14ac:dyDescent="0.3">
      <c r="A676" t="str">
        <f>"670021211"</f>
        <v>670021211</v>
      </c>
      <c r="B676" t="str">
        <f>"893 027 227 00014"</f>
        <v>893 027 227 00014</v>
      </c>
      <c r="D676" t="str">
        <f>"CDS CLINADENT STRASBOURG NUEE BLEUE"</f>
        <v>CDS CLINADENT STRASBOURG NUEE BLEUE</v>
      </c>
      <c r="F676" t="str">
        <f>"2 RUE DE LA NUEE BLEUE"</f>
        <v>2 RUE DE LA NUEE BLEUE</v>
      </c>
      <c r="H676" t="str">
        <f>"67000"</f>
        <v>67000</v>
      </c>
      <c r="I676" t="str">
        <f>"STRASBOURG"</f>
        <v>STRASBOURG</v>
      </c>
      <c r="J676" t="str">
        <f>"03 68 59 07 00 "</f>
        <v xml:space="preserve">03 68 59 07 00 </v>
      </c>
      <c r="L676" s="1">
        <v>44410</v>
      </c>
      <c r="M676" t="str">
        <f t="shared" si="100"/>
        <v>124</v>
      </c>
      <c r="N676" t="str">
        <f t="shared" si="101"/>
        <v>Centre de Santé</v>
      </c>
      <c r="O676" t="str">
        <f t="shared" si="106"/>
        <v>60</v>
      </c>
      <c r="P676" t="str">
        <f t="shared" si="107"/>
        <v>Association Loi 1901 non Reconnue d'Utilité Publique</v>
      </c>
      <c r="Q676" t="str">
        <f t="shared" si="102"/>
        <v>36</v>
      </c>
      <c r="R676" t="str">
        <f t="shared" si="103"/>
        <v>Tarifs conventionnels assurance maladie</v>
      </c>
      <c r="U676" t="str">
        <f>"920037645"</f>
        <v>920037645</v>
      </c>
    </row>
    <row r="677" spans="1:21" x14ac:dyDescent="0.3">
      <c r="A677" t="str">
        <f>"750067167"</f>
        <v>750067167</v>
      </c>
      <c r="B677" t="str">
        <f>"892 031 519 00010"</f>
        <v>892 031 519 00010</v>
      </c>
      <c r="D677" t="str">
        <f>"CDS DENTAIRE PARIS VERSAILLES"</f>
        <v>CDS DENTAIRE PARIS VERSAILLES</v>
      </c>
      <c r="E677" t="str">
        <f>"182-184"</f>
        <v>182-184</v>
      </c>
      <c r="F677" t="str">
        <f>"182 AVENUE DE VERSAILLES"</f>
        <v>182 AVENUE DE VERSAILLES</v>
      </c>
      <c r="H677" t="str">
        <f>"75016"</f>
        <v>75016</v>
      </c>
      <c r="I677" t="str">
        <f>"PARIS"</f>
        <v>PARIS</v>
      </c>
      <c r="L677" s="1">
        <v>44410</v>
      </c>
      <c r="M677" t="str">
        <f t="shared" si="100"/>
        <v>124</v>
      </c>
      <c r="N677" t="str">
        <f t="shared" si="101"/>
        <v>Centre de Santé</v>
      </c>
      <c r="O677" t="str">
        <f t="shared" si="106"/>
        <v>60</v>
      </c>
      <c r="P677" t="str">
        <f t="shared" si="107"/>
        <v>Association Loi 1901 non Reconnue d'Utilité Publique</v>
      </c>
      <c r="Q677" t="str">
        <f t="shared" si="102"/>
        <v>36</v>
      </c>
      <c r="R677" t="str">
        <f t="shared" si="103"/>
        <v>Tarifs conventionnels assurance maladie</v>
      </c>
      <c r="U677" t="str">
        <f>"750067159"</f>
        <v>750067159</v>
      </c>
    </row>
    <row r="678" spans="1:21" x14ac:dyDescent="0.3">
      <c r="A678" t="str">
        <f>"750068090"</f>
        <v>750068090</v>
      </c>
      <c r="B678" t="str">
        <f>"899 969 281 00018"</f>
        <v>899 969 281 00018</v>
      </c>
      <c r="D678" t="str">
        <f>"CDS STUDIO SMILE RENNES"</f>
        <v>CDS STUDIO SMILE RENNES</v>
      </c>
      <c r="F678" t="str">
        <f>"115 RUE DE RENNES"</f>
        <v>115 RUE DE RENNES</v>
      </c>
      <c r="H678" t="str">
        <f>"75006"</f>
        <v>75006</v>
      </c>
      <c r="I678" t="str">
        <f>"PARIS"</f>
        <v>PARIS</v>
      </c>
      <c r="J678" t="str">
        <f>"01 83 81 13 00 "</f>
        <v xml:space="preserve">01 83 81 13 00 </v>
      </c>
      <c r="L678" s="1">
        <v>44410</v>
      </c>
      <c r="M678" t="str">
        <f t="shared" si="100"/>
        <v>124</v>
      </c>
      <c r="N678" t="str">
        <f t="shared" si="101"/>
        <v>Centre de Santé</v>
      </c>
      <c r="O678" t="str">
        <f t="shared" si="106"/>
        <v>60</v>
      </c>
      <c r="P678" t="str">
        <f t="shared" si="107"/>
        <v>Association Loi 1901 non Reconnue d'Utilité Publique</v>
      </c>
      <c r="Q678" t="str">
        <f t="shared" ref="Q678:Q709" si="108">"36"</f>
        <v>36</v>
      </c>
      <c r="R678" t="str">
        <f t="shared" ref="R678:R709" si="109">"Tarifs conventionnels assurance maladie"</f>
        <v>Tarifs conventionnels assurance maladie</v>
      </c>
      <c r="U678" t="str">
        <f>"750068082"</f>
        <v>750068082</v>
      </c>
    </row>
    <row r="679" spans="1:21" x14ac:dyDescent="0.3">
      <c r="A679" t="str">
        <f>"780028197"</f>
        <v>780028197</v>
      </c>
      <c r="B679" t="str">
        <f>"890 598 782 00013"</f>
        <v>890 598 782 00013</v>
      </c>
      <c r="D679" t="str">
        <f>"CDS MEDICO DENTAIRE DE TRAPPES"</f>
        <v>CDS MEDICO DENTAIRE DE TRAPPES</v>
      </c>
      <c r="F679" t="str">
        <f>"65 AVENUE PAUL VAILLANT COUTURIER"</f>
        <v>65 AVENUE PAUL VAILLANT COUTURIER</v>
      </c>
      <c r="H679" t="str">
        <f>"78190"</f>
        <v>78190</v>
      </c>
      <c r="I679" t="str">
        <f>"TRAPPES"</f>
        <v>TRAPPES</v>
      </c>
      <c r="J679" t="str">
        <f>"01 85 76 00 70 "</f>
        <v xml:space="preserve">01 85 76 00 70 </v>
      </c>
      <c r="L679" s="1">
        <v>44410</v>
      </c>
      <c r="M679" t="str">
        <f t="shared" si="100"/>
        <v>124</v>
      </c>
      <c r="N679" t="str">
        <f t="shared" si="101"/>
        <v>Centre de Santé</v>
      </c>
      <c r="O679" t="str">
        <f t="shared" si="106"/>
        <v>60</v>
      </c>
      <c r="P679" t="str">
        <f t="shared" si="107"/>
        <v>Association Loi 1901 non Reconnue d'Utilité Publique</v>
      </c>
      <c r="Q679" t="str">
        <f t="shared" si="108"/>
        <v>36</v>
      </c>
      <c r="R679" t="str">
        <f t="shared" si="109"/>
        <v>Tarifs conventionnels assurance maladie</v>
      </c>
      <c r="U679" t="str">
        <f>"780028189"</f>
        <v>780028189</v>
      </c>
    </row>
    <row r="680" spans="1:21" x14ac:dyDescent="0.3">
      <c r="A680" t="str">
        <f>"160016903"</f>
        <v>160016903</v>
      </c>
      <c r="B680" t="str">
        <f>"211 601 026 00290"</f>
        <v>211 601 026 00290</v>
      </c>
      <c r="D680" t="str">
        <f>"CDS MUNICIPAL DE COGNAC"</f>
        <v>CDS MUNICIPAL DE COGNAC</v>
      </c>
      <c r="F680" t="str">
        <f>"8 RUE CAMILLE GODARD"</f>
        <v>8 RUE CAMILLE GODARD</v>
      </c>
      <c r="H680" t="str">
        <f>"16100"</f>
        <v>16100</v>
      </c>
      <c r="I680" t="str">
        <f>"COGNAC"</f>
        <v>COGNAC</v>
      </c>
      <c r="J680" t="str">
        <f>"09 82 99 18 16 "</f>
        <v xml:space="preserve">09 82 99 18 16 </v>
      </c>
      <c r="L680" s="1">
        <v>44409</v>
      </c>
      <c r="M680" t="str">
        <f t="shared" si="100"/>
        <v>124</v>
      </c>
      <c r="N680" t="str">
        <f t="shared" si="101"/>
        <v>Centre de Santé</v>
      </c>
      <c r="O680" t="str">
        <f>"03"</f>
        <v>03</v>
      </c>
      <c r="P680" t="str">
        <f>"Commune"</f>
        <v>Commune</v>
      </c>
      <c r="Q680" t="str">
        <f t="shared" si="108"/>
        <v>36</v>
      </c>
      <c r="R680" t="str">
        <f t="shared" si="109"/>
        <v>Tarifs conventionnels assurance maladie</v>
      </c>
      <c r="U680" t="str">
        <f>"160016895"</f>
        <v>160016895</v>
      </c>
    </row>
    <row r="681" spans="1:21" x14ac:dyDescent="0.3">
      <c r="A681" t="str">
        <f>"020018537"</f>
        <v>020018537</v>
      </c>
      <c r="D681" t="str">
        <f>"CSP DE  VILLIERS-ST-DENIS"</f>
        <v>CSP DE  VILLIERS-ST-DENIS</v>
      </c>
      <c r="F681" t="str">
        <f>"1 RUE LOUISE MONFORT"</f>
        <v>1 RUE LOUISE MONFORT</v>
      </c>
      <c r="H681" t="str">
        <f>"02310"</f>
        <v>02310</v>
      </c>
      <c r="I681" t="str">
        <f>"VILLIERS ST DENIS"</f>
        <v>VILLIERS ST DENIS</v>
      </c>
      <c r="J681" t="str">
        <f>"03 23 70 75 22 "</f>
        <v xml:space="preserve">03 23 70 75 22 </v>
      </c>
      <c r="L681" s="1">
        <v>44407</v>
      </c>
      <c r="M681" t="str">
        <f t="shared" si="100"/>
        <v>124</v>
      </c>
      <c r="N681" t="str">
        <f t="shared" si="101"/>
        <v>Centre de Santé</v>
      </c>
      <c r="O681" t="str">
        <f>"63"</f>
        <v>63</v>
      </c>
      <c r="P681" t="str">
        <f>"Fondation"</f>
        <v>Fondation</v>
      </c>
      <c r="Q681" t="str">
        <f t="shared" si="108"/>
        <v>36</v>
      </c>
      <c r="R681" t="str">
        <f t="shared" si="109"/>
        <v>Tarifs conventionnels assurance maladie</v>
      </c>
      <c r="U681" t="str">
        <f>"750814030"</f>
        <v>750814030</v>
      </c>
    </row>
    <row r="682" spans="1:21" x14ac:dyDescent="0.3">
      <c r="A682" t="str">
        <f>"910025782"</f>
        <v>910025782</v>
      </c>
      <c r="B682" t="str">
        <f>"898 045 992 00010"</f>
        <v>898 045 992 00010</v>
      </c>
      <c r="D682" t="str">
        <f>"CDS ANNADENT PALAISEAU"</f>
        <v>CDS ANNADENT PALAISEAU</v>
      </c>
      <c r="F682" t="str">
        <f>"1 AVENUE JEAN JAURES"</f>
        <v>1 AVENUE JEAN JAURES</v>
      </c>
      <c r="H682" t="str">
        <f>"91120"</f>
        <v>91120</v>
      </c>
      <c r="I682" t="str">
        <f>"PALAISEAU"</f>
        <v>PALAISEAU</v>
      </c>
      <c r="J682" t="str">
        <f>"06 21 89 38 18 "</f>
        <v xml:space="preserve">06 21 89 38 18 </v>
      </c>
      <c r="L682" s="1">
        <v>44405</v>
      </c>
      <c r="M682" t="str">
        <f t="shared" si="100"/>
        <v>124</v>
      </c>
      <c r="N682" t="str">
        <f t="shared" si="101"/>
        <v>Centre de Santé</v>
      </c>
      <c r="O682" t="str">
        <f t="shared" ref="O682:O691" si="110">"60"</f>
        <v>60</v>
      </c>
      <c r="P682" t="str">
        <f t="shared" ref="P682:P691" si="111">"Association Loi 1901 non Reconnue d'Utilité Publique"</f>
        <v>Association Loi 1901 non Reconnue d'Utilité Publique</v>
      </c>
      <c r="Q682" t="str">
        <f t="shared" si="108"/>
        <v>36</v>
      </c>
      <c r="R682" t="str">
        <f t="shared" si="109"/>
        <v>Tarifs conventionnels assurance maladie</v>
      </c>
      <c r="U682" t="str">
        <f>"910025774"</f>
        <v>910025774</v>
      </c>
    </row>
    <row r="683" spans="1:21" x14ac:dyDescent="0.3">
      <c r="A683" t="str">
        <f>"930030614"</f>
        <v>930030614</v>
      </c>
      <c r="B683" t="str">
        <f>"892 120 361 00019"</f>
        <v>892 120 361 00019</v>
      </c>
      <c r="D683" t="str">
        <f>"CDS DIGIDENT MEDICO DENTAIRE"</f>
        <v>CDS DIGIDENT MEDICO DENTAIRE</v>
      </c>
      <c r="F683" t="str">
        <f>"60 AVENUE VICTOR HUGO"</f>
        <v>60 AVENUE VICTOR HUGO</v>
      </c>
      <c r="H683" t="str">
        <f>"93320"</f>
        <v>93320</v>
      </c>
      <c r="I683" t="str">
        <f>"LES PAVILLONS SOUS BOIS"</f>
        <v>LES PAVILLONS SOUS BOIS</v>
      </c>
      <c r="J683" t="str">
        <f>"07 64 83 19 33 "</f>
        <v xml:space="preserve">07 64 83 19 33 </v>
      </c>
      <c r="L683" s="1">
        <v>44405</v>
      </c>
      <c r="M683" t="str">
        <f t="shared" si="100"/>
        <v>124</v>
      </c>
      <c r="N683" t="str">
        <f t="shared" si="101"/>
        <v>Centre de Santé</v>
      </c>
      <c r="O683" t="str">
        <f t="shared" si="110"/>
        <v>60</v>
      </c>
      <c r="P683" t="str">
        <f t="shared" si="111"/>
        <v>Association Loi 1901 non Reconnue d'Utilité Publique</v>
      </c>
      <c r="Q683" t="str">
        <f t="shared" si="108"/>
        <v>36</v>
      </c>
      <c r="R683" t="str">
        <f t="shared" si="109"/>
        <v>Tarifs conventionnels assurance maladie</v>
      </c>
      <c r="U683" t="str">
        <f>"930030606"</f>
        <v>930030606</v>
      </c>
    </row>
    <row r="684" spans="1:21" x14ac:dyDescent="0.3">
      <c r="A684" t="str">
        <f>"540026176"</f>
        <v>540026176</v>
      </c>
      <c r="B684" t="str">
        <f>"898 311 642 00018"</f>
        <v>898 311 642 00018</v>
      </c>
      <c r="D684" t="str">
        <f>"CENTRE DE SANTE DENTAIRE SAINT DIZIER"</f>
        <v>CENTRE DE SANTE DENTAIRE SAINT DIZIER</v>
      </c>
      <c r="F684" t="str">
        <f>"10 RUE SAINT DIZIER"</f>
        <v>10 RUE SAINT DIZIER</v>
      </c>
      <c r="H684" t="str">
        <f>"54000"</f>
        <v>54000</v>
      </c>
      <c r="I684" t="str">
        <f>"NANCY"</f>
        <v>NANCY</v>
      </c>
      <c r="J684" t="str">
        <f>"03 55 40 92 09 "</f>
        <v xml:space="preserve">03 55 40 92 09 </v>
      </c>
      <c r="L684" s="1">
        <v>44404</v>
      </c>
      <c r="M684" t="str">
        <f t="shared" si="100"/>
        <v>124</v>
      </c>
      <c r="N684" t="str">
        <f t="shared" si="101"/>
        <v>Centre de Santé</v>
      </c>
      <c r="O684" t="str">
        <f t="shared" si="110"/>
        <v>60</v>
      </c>
      <c r="P684" t="str">
        <f t="shared" si="111"/>
        <v>Association Loi 1901 non Reconnue d'Utilité Publique</v>
      </c>
      <c r="Q684" t="str">
        <f t="shared" si="108"/>
        <v>36</v>
      </c>
      <c r="R684" t="str">
        <f t="shared" si="109"/>
        <v>Tarifs conventionnels assurance maladie</v>
      </c>
      <c r="U684" t="str">
        <f>"540026168"</f>
        <v>540026168</v>
      </c>
    </row>
    <row r="685" spans="1:21" x14ac:dyDescent="0.3">
      <c r="A685" t="str">
        <f>"750067456"</f>
        <v>750067456</v>
      </c>
      <c r="B685" t="str">
        <f>"894 441 195 00019"</f>
        <v>894 441 195 00019</v>
      </c>
      <c r="D685" t="str">
        <f>"CDS OPHTALMOLOGIQUE CENTRE DU CHATEAU"</f>
        <v>CDS OPHTALMOLOGIQUE CENTRE DU CHATEAU</v>
      </c>
      <c r="F685" t="str">
        <f>"44 BOULEVARD BARBES"</f>
        <v>44 BOULEVARD BARBES</v>
      </c>
      <c r="H685" t="str">
        <f>"75018"</f>
        <v>75018</v>
      </c>
      <c r="I685" t="str">
        <f>"PARIS"</f>
        <v>PARIS</v>
      </c>
      <c r="J685" t="str">
        <f>"01 42 57 06 27 "</f>
        <v xml:space="preserve">01 42 57 06 27 </v>
      </c>
      <c r="L685" s="1">
        <v>44403</v>
      </c>
      <c r="M685" t="str">
        <f t="shared" si="100"/>
        <v>124</v>
      </c>
      <c r="N685" t="str">
        <f t="shared" si="101"/>
        <v>Centre de Santé</v>
      </c>
      <c r="O685" t="str">
        <f t="shared" si="110"/>
        <v>60</v>
      </c>
      <c r="P685" t="str">
        <f t="shared" si="111"/>
        <v>Association Loi 1901 non Reconnue d'Utilité Publique</v>
      </c>
      <c r="Q685" t="str">
        <f t="shared" si="108"/>
        <v>36</v>
      </c>
      <c r="R685" t="str">
        <f t="shared" si="109"/>
        <v>Tarifs conventionnels assurance maladie</v>
      </c>
      <c r="U685" t="str">
        <f>"750067449"</f>
        <v>750067449</v>
      </c>
    </row>
    <row r="686" spans="1:21" x14ac:dyDescent="0.3">
      <c r="A686" t="str">
        <f>"760039453"</f>
        <v>760039453</v>
      </c>
      <c r="B686" t="str">
        <f>"892 202 862 00025"</f>
        <v>892 202 862 00025</v>
      </c>
      <c r="D686" t="str">
        <f>"CENTRE DENTAIRE DU HAVRE"</f>
        <v>CENTRE DENTAIRE DU HAVRE</v>
      </c>
      <c r="F686" t="str">
        <f>"171 AVENUE DU 8 MAI 1945"</f>
        <v>171 AVENUE DU 8 MAI 1945</v>
      </c>
      <c r="H686" t="str">
        <f>"76610"</f>
        <v>76610</v>
      </c>
      <c r="I686" t="str">
        <f>"LE HAVRE"</f>
        <v>LE HAVRE</v>
      </c>
      <c r="L686" s="1">
        <v>44403</v>
      </c>
      <c r="M686" t="str">
        <f t="shared" si="100"/>
        <v>124</v>
      </c>
      <c r="N686" t="str">
        <f t="shared" si="101"/>
        <v>Centre de Santé</v>
      </c>
      <c r="O686" t="str">
        <f t="shared" si="110"/>
        <v>60</v>
      </c>
      <c r="P686" t="str">
        <f t="shared" si="111"/>
        <v>Association Loi 1901 non Reconnue d'Utilité Publique</v>
      </c>
      <c r="Q686" t="str">
        <f t="shared" si="108"/>
        <v>36</v>
      </c>
      <c r="R686" t="str">
        <f t="shared" si="109"/>
        <v>Tarifs conventionnels assurance maladie</v>
      </c>
      <c r="U686" t="str">
        <f>"760039750"</f>
        <v>760039750</v>
      </c>
    </row>
    <row r="687" spans="1:21" x14ac:dyDescent="0.3">
      <c r="A687" t="str">
        <f>"780028395"</f>
        <v>780028395</v>
      </c>
      <c r="B687" t="str">
        <f>"895 266 732 00018"</f>
        <v>895 266 732 00018</v>
      </c>
      <c r="D687" t="str">
        <f>"CDS DENTAIRE DES ESSARTS"</f>
        <v>CDS DENTAIRE DES ESSARTS</v>
      </c>
      <c r="F687" t="str">
        <f>"19 RUE DU 11 NOVEMBRE"</f>
        <v>19 RUE DU 11 NOVEMBRE</v>
      </c>
      <c r="H687" t="str">
        <f>"78690"</f>
        <v>78690</v>
      </c>
      <c r="I687" t="str">
        <f>"LES ESSARTS LE ROI"</f>
        <v>LES ESSARTS LE ROI</v>
      </c>
      <c r="J687" t="str">
        <f>"06 15 71 24 39 "</f>
        <v xml:space="preserve">06 15 71 24 39 </v>
      </c>
      <c r="L687" s="1">
        <v>44403</v>
      </c>
      <c r="M687" t="str">
        <f t="shared" si="100"/>
        <v>124</v>
      </c>
      <c r="N687" t="str">
        <f t="shared" si="101"/>
        <v>Centre de Santé</v>
      </c>
      <c r="O687" t="str">
        <f t="shared" si="110"/>
        <v>60</v>
      </c>
      <c r="P687" t="str">
        <f t="shared" si="111"/>
        <v>Association Loi 1901 non Reconnue d'Utilité Publique</v>
      </c>
      <c r="Q687" t="str">
        <f t="shared" si="108"/>
        <v>36</v>
      </c>
      <c r="R687" t="str">
        <f t="shared" si="109"/>
        <v>Tarifs conventionnels assurance maladie</v>
      </c>
      <c r="U687" t="str">
        <f>"920037595"</f>
        <v>920037595</v>
      </c>
    </row>
    <row r="688" spans="1:21" x14ac:dyDescent="0.3">
      <c r="A688" t="str">
        <f>"910025485"</f>
        <v>910025485</v>
      </c>
      <c r="B688" t="str">
        <f>"891 631 376 00011"</f>
        <v>891 631 376 00011</v>
      </c>
      <c r="D688" t="str">
        <f>"CDS YERRES"</f>
        <v>CDS YERRES</v>
      </c>
      <c r="F688" t="str">
        <f>"62 RUE CHARLES DE GAULLE"</f>
        <v>62 RUE CHARLES DE GAULLE</v>
      </c>
      <c r="H688" t="str">
        <f>"91330"</f>
        <v>91330</v>
      </c>
      <c r="I688" t="str">
        <f>"YERRES"</f>
        <v>YERRES</v>
      </c>
      <c r="L688" s="1">
        <v>44403</v>
      </c>
      <c r="M688" t="str">
        <f t="shared" si="100"/>
        <v>124</v>
      </c>
      <c r="N688" t="str">
        <f t="shared" si="101"/>
        <v>Centre de Santé</v>
      </c>
      <c r="O688" t="str">
        <f t="shared" si="110"/>
        <v>60</v>
      </c>
      <c r="P688" t="str">
        <f t="shared" si="111"/>
        <v>Association Loi 1901 non Reconnue d'Utilité Publique</v>
      </c>
      <c r="Q688" t="str">
        <f t="shared" si="108"/>
        <v>36</v>
      </c>
      <c r="R688" t="str">
        <f t="shared" si="109"/>
        <v>Tarifs conventionnels assurance maladie</v>
      </c>
      <c r="U688" t="str">
        <f>"910025477"</f>
        <v>910025477</v>
      </c>
    </row>
    <row r="689" spans="1:21" x14ac:dyDescent="0.3">
      <c r="A689" t="str">
        <f>"920037637"</f>
        <v>920037637</v>
      </c>
      <c r="B689" t="str">
        <f>"897 594 750 00019"</f>
        <v>897 594 750 00019</v>
      </c>
      <c r="D689" t="str">
        <f>"CDS DENTAIRE NEUILLY"</f>
        <v>CDS DENTAIRE NEUILLY</v>
      </c>
      <c r="F689" t="str">
        <f>"100 AVENUE CHARLES DE GAULLE"</f>
        <v>100 AVENUE CHARLES DE GAULLE</v>
      </c>
      <c r="H689" t="str">
        <f>"92200"</f>
        <v>92200</v>
      </c>
      <c r="I689" t="str">
        <f>"NEUILLY SUR SEINE"</f>
        <v>NEUILLY SUR SEINE</v>
      </c>
      <c r="J689" t="str">
        <f>"06 72 70 50 25 "</f>
        <v xml:space="preserve">06 72 70 50 25 </v>
      </c>
      <c r="L689" s="1">
        <v>44403</v>
      </c>
      <c r="M689" t="str">
        <f t="shared" si="100"/>
        <v>124</v>
      </c>
      <c r="N689" t="str">
        <f t="shared" si="101"/>
        <v>Centre de Santé</v>
      </c>
      <c r="O689" t="str">
        <f t="shared" si="110"/>
        <v>60</v>
      </c>
      <c r="P689" t="str">
        <f t="shared" si="111"/>
        <v>Association Loi 1901 non Reconnue d'Utilité Publique</v>
      </c>
      <c r="Q689" t="str">
        <f t="shared" si="108"/>
        <v>36</v>
      </c>
      <c r="R689" t="str">
        <f t="shared" si="109"/>
        <v>Tarifs conventionnels assurance maladie</v>
      </c>
      <c r="U689" t="str">
        <f>"920037629"</f>
        <v>920037629</v>
      </c>
    </row>
    <row r="690" spans="1:21" x14ac:dyDescent="0.3">
      <c r="A690" t="str">
        <f>"930030135"</f>
        <v>930030135</v>
      </c>
      <c r="B690" t="str">
        <f>"887 637 478 00017"</f>
        <v>887 637 478 00017</v>
      </c>
      <c r="D690" t="str">
        <f>"CDS DENTAIRE OPHTALMO DE LA MAIRIE"</f>
        <v>CDS DENTAIRE OPHTALMO DE LA MAIRIE</v>
      </c>
      <c r="F690" t="str">
        <f>"6 RUE ACHILLE DOMART"</f>
        <v>6 RUE ACHILLE DOMART</v>
      </c>
      <c r="H690" t="str">
        <f>"93300"</f>
        <v>93300</v>
      </c>
      <c r="I690" t="str">
        <f>"AUBERVILLIERS"</f>
        <v>AUBERVILLIERS</v>
      </c>
      <c r="J690" t="str">
        <f>"06 27 87 08 52 "</f>
        <v xml:space="preserve">06 27 87 08 52 </v>
      </c>
      <c r="L690" s="1">
        <v>44403</v>
      </c>
      <c r="M690" t="str">
        <f t="shared" si="100"/>
        <v>124</v>
      </c>
      <c r="N690" t="str">
        <f t="shared" si="101"/>
        <v>Centre de Santé</v>
      </c>
      <c r="O690" t="str">
        <f t="shared" si="110"/>
        <v>60</v>
      </c>
      <c r="P690" t="str">
        <f t="shared" si="111"/>
        <v>Association Loi 1901 non Reconnue d'Utilité Publique</v>
      </c>
      <c r="Q690" t="str">
        <f t="shared" si="108"/>
        <v>36</v>
      </c>
      <c r="R690" t="str">
        <f t="shared" si="109"/>
        <v>Tarifs conventionnels assurance maladie</v>
      </c>
      <c r="U690" t="str">
        <f>"930030127"</f>
        <v>930030127</v>
      </c>
    </row>
    <row r="691" spans="1:21" x14ac:dyDescent="0.3">
      <c r="A691" t="str">
        <f>"930030911"</f>
        <v>930030911</v>
      </c>
      <c r="B691" t="str">
        <f>"898 046 230 00014"</f>
        <v>898 046 230 00014</v>
      </c>
      <c r="D691" t="str">
        <f>"CDS OPHTALMOLOGIQUE DE ROSNY SS BOIS"</f>
        <v>CDS OPHTALMOLOGIQUE DE ROSNY SS BOIS</v>
      </c>
      <c r="F691" t="str">
        <f>"9 PLACE CARNOT"</f>
        <v>9 PLACE CARNOT</v>
      </c>
      <c r="H691" t="str">
        <f>"93110"</f>
        <v>93110</v>
      </c>
      <c r="I691" t="str">
        <f>"ROSNY SOUS BOIS"</f>
        <v>ROSNY SOUS BOIS</v>
      </c>
      <c r="J691" t="str">
        <f>"06 23 18 21 78 "</f>
        <v xml:space="preserve">06 23 18 21 78 </v>
      </c>
      <c r="L691" s="1">
        <v>44403</v>
      </c>
      <c r="M691" t="str">
        <f t="shared" si="100"/>
        <v>124</v>
      </c>
      <c r="N691" t="str">
        <f t="shared" si="101"/>
        <v>Centre de Santé</v>
      </c>
      <c r="O691" t="str">
        <f t="shared" si="110"/>
        <v>60</v>
      </c>
      <c r="P691" t="str">
        <f t="shared" si="111"/>
        <v>Association Loi 1901 non Reconnue d'Utilité Publique</v>
      </c>
      <c r="Q691" t="str">
        <f t="shared" si="108"/>
        <v>36</v>
      </c>
      <c r="R691" t="str">
        <f t="shared" si="109"/>
        <v>Tarifs conventionnels assurance maladie</v>
      </c>
      <c r="U691" t="str">
        <f>"930030903"</f>
        <v>930030903</v>
      </c>
    </row>
    <row r="692" spans="1:21" x14ac:dyDescent="0.3">
      <c r="A692" t="str">
        <f>"620035709"</f>
        <v>620035709</v>
      </c>
      <c r="B692" t="str">
        <f>"226 200 012 00012"</f>
        <v>226 200 012 00012</v>
      </c>
      <c r="D692" t="str">
        <f>"CSM  DE SALLAUMINES"</f>
        <v>CSM  DE SALLAUMINES</v>
      </c>
      <c r="F692" t="str">
        <f>"1 RUE DE LILLERS"</f>
        <v>1 RUE DE LILLERS</v>
      </c>
      <c r="H692" t="str">
        <f>"62430"</f>
        <v>62430</v>
      </c>
      <c r="I692" t="str">
        <f>"SALLAUMINES"</f>
        <v>SALLAUMINES</v>
      </c>
      <c r="J692" t="str">
        <f>"03 59 80 16 99 "</f>
        <v xml:space="preserve">03 59 80 16 99 </v>
      </c>
      <c r="L692" s="1">
        <v>44399</v>
      </c>
      <c r="M692" t="str">
        <f t="shared" si="100"/>
        <v>124</v>
      </c>
      <c r="N692" t="str">
        <f t="shared" si="101"/>
        <v>Centre de Santé</v>
      </c>
      <c r="O692" t="str">
        <f>"02"</f>
        <v>02</v>
      </c>
      <c r="P692" t="str">
        <f>"Département"</f>
        <v>Département</v>
      </c>
      <c r="Q692" t="str">
        <f t="shared" si="108"/>
        <v>36</v>
      </c>
      <c r="R692" t="str">
        <f t="shared" si="109"/>
        <v>Tarifs conventionnels assurance maladie</v>
      </c>
      <c r="U692" t="str">
        <f>"620111542"</f>
        <v>620111542</v>
      </c>
    </row>
    <row r="693" spans="1:21" x14ac:dyDescent="0.3">
      <c r="A693" t="str">
        <f>"310033154"</f>
        <v>310033154</v>
      </c>
      <c r="B693" t="str">
        <f>"888 734 480 00013"</f>
        <v>888 734 480 00013</v>
      </c>
      <c r="D693" t="str">
        <f>"CENTRE OPHTALMOLOGIQUE COLOMIERS"</f>
        <v>CENTRE OPHTALMOLOGIQUE COLOMIERS</v>
      </c>
      <c r="F693" t="str">
        <f>"39 RUE DU CENTRE"</f>
        <v>39 RUE DU CENTRE</v>
      </c>
      <c r="H693" t="str">
        <f>"31770"</f>
        <v>31770</v>
      </c>
      <c r="I693" t="str">
        <f>"COLOMIERS"</f>
        <v>COLOMIERS</v>
      </c>
      <c r="L693" s="1">
        <v>44398</v>
      </c>
      <c r="M693" t="str">
        <f t="shared" si="100"/>
        <v>124</v>
      </c>
      <c r="N693" t="str">
        <f t="shared" si="101"/>
        <v>Centre de Santé</v>
      </c>
      <c r="O693" t="str">
        <f>"60"</f>
        <v>60</v>
      </c>
      <c r="P693" t="str">
        <f>"Association Loi 1901 non Reconnue d'Utilité Publique"</f>
        <v>Association Loi 1901 non Reconnue d'Utilité Publique</v>
      </c>
      <c r="Q693" t="str">
        <f t="shared" si="108"/>
        <v>36</v>
      </c>
      <c r="R693" t="str">
        <f t="shared" si="109"/>
        <v>Tarifs conventionnels assurance maladie</v>
      </c>
      <c r="U693" t="str">
        <f>"310033147"</f>
        <v>310033147</v>
      </c>
    </row>
    <row r="694" spans="1:21" x14ac:dyDescent="0.3">
      <c r="A694" t="str">
        <f>"770023828"</f>
        <v>770023828</v>
      </c>
      <c r="B694" t="str">
        <f>"893 178 772 00016"</f>
        <v>893 178 772 00016</v>
      </c>
      <c r="D694" t="str">
        <f>"CDS DE MEAUX"</f>
        <v>CDS DE MEAUX</v>
      </c>
      <c r="F694" t="str">
        <f>"1 ALLEE JEAN LOUIS BARRAULT"</f>
        <v>1 ALLEE JEAN LOUIS BARRAULT</v>
      </c>
      <c r="G694" t="str">
        <f>"CC LA VERRIERE"</f>
        <v>CC LA VERRIERE</v>
      </c>
      <c r="H694" t="str">
        <f>"77100"</f>
        <v>77100</v>
      </c>
      <c r="I694" t="str">
        <f>"MEAUX"</f>
        <v>MEAUX</v>
      </c>
      <c r="J694" t="str">
        <f>"01 77 38 55 55 "</f>
        <v xml:space="preserve">01 77 38 55 55 </v>
      </c>
      <c r="L694" s="1">
        <v>44396</v>
      </c>
      <c r="M694" t="str">
        <f t="shared" si="100"/>
        <v>124</v>
      </c>
      <c r="N694" t="str">
        <f t="shared" si="101"/>
        <v>Centre de Santé</v>
      </c>
      <c r="O694" t="str">
        <f>"60"</f>
        <v>60</v>
      </c>
      <c r="P694" t="str">
        <f>"Association Loi 1901 non Reconnue d'Utilité Publique"</f>
        <v>Association Loi 1901 non Reconnue d'Utilité Publique</v>
      </c>
      <c r="Q694" t="str">
        <f t="shared" si="108"/>
        <v>36</v>
      </c>
      <c r="R694" t="str">
        <f t="shared" si="109"/>
        <v>Tarifs conventionnels assurance maladie</v>
      </c>
      <c r="U694" t="str">
        <f>"770023810"</f>
        <v>770023810</v>
      </c>
    </row>
    <row r="695" spans="1:21" x14ac:dyDescent="0.3">
      <c r="A695" t="str">
        <f>"750066698"</f>
        <v>750066698</v>
      </c>
      <c r="B695" t="str">
        <f>"890 959 612 00015"</f>
        <v>890 959 612 00015</v>
      </c>
      <c r="D695" t="str">
        <f>"CDS MEDICO DENTAIRE PARIS ST DENIS"</f>
        <v>CDS MEDICO DENTAIRE PARIS ST DENIS</v>
      </c>
      <c r="E695" t="str">
        <f>"24-26"</f>
        <v>24-26</v>
      </c>
      <c r="F695" t="str">
        <f>"24 BOULEVARD ST DENIS"</f>
        <v>24 BOULEVARD ST DENIS</v>
      </c>
      <c r="H695" t="str">
        <f>"75010"</f>
        <v>75010</v>
      </c>
      <c r="I695" t="str">
        <f>"PARIS"</f>
        <v>PARIS</v>
      </c>
      <c r="L695" s="1">
        <v>44392</v>
      </c>
      <c r="M695" t="str">
        <f t="shared" si="100"/>
        <v>124</v>
      </c>
      <c r="N695" t="str">
        <f t="shared" si="101"/>
        <v>Centre de Santé</v>
      </c>
      <c r="O695" t="str">
        <f>"60"</f>
        <v>60</v>
      </c>
      <c r="P695" t="str">
        <f>"Association Loi 1901 non Reconnue d'Utilité Publique"</f>
        <v>Association Loi 1901 non Reconnue d'Utilité Publique</v>
      </c>
      <c r="Q695" t="str">
        <f t="shared" si="108"/>
        <v>36</v>
      </c>
      <c r="R695" t="str">
        <f t="shared" si="109"/>
        <v>Tarifs conventionnels assurance maladie</v>
      </c>
      <c r="U695" t="str">
        <f>"750066680"</f>
        <v>750066680</v>
      </c>
    </row>
    <row r="696" spans="1:21" x14ac:dyDescent="0.3">
      <c r="A696" t="str">
        <f>"910025501"</f>
        <v>910025501</v>
      </c>
      <c r="B696" t="str">
        <f>"890 851 744 00015"</f>
        <v>890 851 744 00015</v>
      </c>
      <c r="D696" t="str">
        <f>"CDS DENTAIRE DE BRETIGNY"</f>
        <v>CDS DENTAIRE DE BRETIGNY</v>
      </c>
      <c r="F696" t="str">
        <f>"25 RUE D ESTIENNE D ORVES"</f>
        <v>25 RUE D ESTIENNE D ORVES</v>
      </c>
      <c r="H696" t="str">
        <f>"91220"</f>
        <v>91220</v>
      </c>
      <c r="I696" t="str">
        <f>"BRETIGNY SUR ORGE"</f>
        <v>BRETIGNY SUR ORGE</v>
      </c>
      <c r="J696" t="str">
        <f>"01 86 70 19 19 "</f>
        <v xml:space="preserve">01 86 70 19 19 </v>
      </c>
      <c r="L696" s="1">
        <v>44392</v>
      </c>
      <c r="M696" t="str">
        <f t="shared" si="100"/>
        <v>124</v>
      </c>
      <c r="N696" t="str">
        <f t="shared" si="101"/>
        <v>Centre de Santé</v>
      </c>
      <c r="O696" t="str">
        <f>"60"</f>
        <v>60</v>
      </c>
      <c r="P696" t="str">
        <f>"Association Loi 1901 non Reconnue d'Utilité Publique"</f>
        <v>Association Loi 1901 non Reconnue d'Utilité Publique</v>
      </c>
      <c r="Q696" t="str">
        <f t="shared" si="108"/>
        <v>36</v>
      </c>
      <c r="R696" t="str">
        <f t="shared" si="109"/>
        <v>Tarifs conventionnels assurance maladie</v>
      </c>
      <c r="U696" t="str">
        <f>"910025493"</f>
        <v>910025493</v>
      </c>
    </row>
    <row r="697" spans="1:21" x14ac:dyDescent="0.3">
      <c r="A697" t="str">
        <f>"910025741"</f>
        <v>910025741</v>
      </c>
      <c r="B697" t="str">
        <f>"890 704 174 00014"</f>
        <v>890 704 174 00014</v>
      </c>
      <c r="D697" t="str">
        <f>"CDS DE VILLEJUST"</f>
        <v>CDS DE VILLEJUST</v>
      </c>
      <c r="F697" t="str">
        <f>"2 ROUTE DE VILLEBON"</f>
        <v>2 ROUTE DE VILLEBON</v>
      </c>
      <c r="H697" t="str">
        <f>"91140"</f>
        <v>91140</v>
      </c>
      <c r="I697" t="str">
        <f>"VILLEJUST"</f>
        <v>VILLEJUST</v>
      </c>
      <c r="L697" s="1">
        <v>44392</v>
      </c>
      <c r="M697" t="str">
        <f t="shared" si="100"/>
        <v>124</v>
      </c>
      <c r="N697" t="str">
        <f t="shared" si="101"/>
        <v>Centre de Santé</v>
      </c>
      <c r="O697" t="str">
        <f>"60"</f>
        <v>60</v>
      </c>
      <c r="P697" t="str">
        <f>"Association Loi 1901 non Reconnue d'Utilité Publique"</f>
        <v>Association Loi 1901 non Reconnue d'Utilité Publique</v>
      </c>
      <c r="Q697" t="str">
        <f t="shared" si="108"/>
        <v>36</v>
      </c>
      <c r="R697" t="str">
        <f t="shared" si="109"/>
        <v>Tarifs conventionnels assurance maladie</v>
      </c>
      <c r="U697" t="str">
        <f>"750067951"</f>
        <v>750067951</v>
      </c>
    </row>
    <row r="698" spans="1:21" x14ac:dyDescent="0.3">
      <c r="A698" t="str">
        <f>"340028570"</f>
        <v>340028570</v>
      </c>
      <c r="B698" t="str">
        <f>"349 496 174 02308"</f>
        <v>349 496 174 02308</v>
      </c>
      <c r="D698" t="str">
        <f>"SPOT VOLTAIRE"</f>
        <v>SPOT VOLTAIRE</v>
      </c>
      <c r="F698" t="str">
        <f>"16 BOULEVARD D'ORIENT"</f>
        <v>16 BOULEVARD D'ORIENT</v>
      </c>
      <c r="H698" t="str">
        <f>"34070"</f>
        <v>34070</v>
      </c>
      <c r="I698" t="str">
        <f>"MONTPELLIER"</f>
        <v>MONTPELLIER</v>
      </c>
      <c r="J698" t="str">
        <f>"04 67 34 03 76 "</f>
        <v xml:space="preserve">04 67 34 03 76 </v>
      </c>
      <c r="L698" s="1">
        <v>44390</v>
      </c>
      <c r="M698" t="str">
        <f t="shared" si="100"/>
        <v>124</v>
      </c>
      <c r="N698" t="str">
        <f t="shared" si="101"/>
        <v>Centre de Santé</v>
      </c>
      <c r="O698" t="str">
        <f>"61"</f>
        <v>61</v>
      </c>
      <c r="P698" t="str">
        <f>"Association Loi 1901 Reconnue d'Utilité Publique"</f>
        <v>Association Loi 1901 Reconnue d'Utilité Publique</v>
      </c>
      <c r="Q698" t="str">
        <f t="shared" si="108"/>
        <v>36</v>
      </c>
      <c r="R698" t="str">
        <f t="shared" si="109"/>
        <v>Tarifs conventionnels assurance maladie</v>
      </c>
      <c r="U698" t="str">
        <f>"930013768"</f>
        <v>930013768</v>
      </c>
    </row>
    <row r="699" spans="1:21" x14ac:dyDescent="0.3">
      <c r="A699" t="str">
        <f>"310033246"</f>
        <v>310033246</v>
      </c>
      <c r="B699" t="str">
        <f>"890 700 438 00017"</f>
        <v>890 700 438 00017</v>
      </c>
      <c r="D699" t="str">
        <f>"CTRE DE SANTE DENTAIRE VERTUO"</f>
        <v>CTRE DE SANTE DENTAIRE VERTUO</v>
      </c>
      <c r="E699" t="str">
        <f>"CTRE CCIAL CARREFOUR MARKET"</f>
        <v>CTRE CCIAL CARREFOUR MARKET</v>
      </c>
      <c r="F699" t="str">
        <f>"1 BOULEVARD JEAN GAY"</f>
        <v>1 BOULEVARD JEAN GAY</v>
      </c>
      <c r="H699" t="str">
        <f>"31170"</f>
        <v>31170</v>
      </c>
      <c r="I699" t="str">
        <f>"TOURNEFEUILLE"</f>
        <v>TOURNEFEUILLE</v>
      </c>
      <c r="J699" t="str">
        <f>"06 79 84 20 31 "</f>
        <v xml:space="preserve">06 79 84 20 31 </v>
      </c>
      <c r="L699" s="1">
        <v>44389</v>
      </c>
      <c r="M699" t="str">
        <f t="shared" si="100"/>
        <v>124</v>
      </c>
      <c r="N699" t="str">
        <f t="shared" si="101"/>
        <v>Centre de Santé</v>
      </c>
      <c r="O699" t="str">
        <f>"60"</f>
        <v>60</v>
      </c>
      <c r="P699" t="str">
        <f>"Association Loi 1901 non Reconnue d'Utilité Publique"</f>
        <v>Association Loi 1901 non Reconnue d'Utilité Publique</v>
      </c>
      <c r="Q699" t="str">
        <f t="shared" si="108"/>
        <v>36</v>
      </c>
      <c r="R699" t="str">
        <f t="shared" si="109"/>
        <v>Tarifs conventionnels assurance maladie</v>
      </c>
      <c r="U699" t="str">
        <f>"310033238"</f>
        <v>310033238</v>
      </c>
    </row>
    <row r="700" spans="1:21" x14ac:dyDescent="0.3">
      <c r="A700" t="str">
        <f>"640021085"</f>
        <v>640021085</v>
      </c>
      <c r="B700" t="str">
        <f>"789 741 188 00021"</f>
        <v>789 741 188 00021</v>
      </c>
      <c r="D700" t="str">
        <f>"CENTRE DE SANTE DU MARAIS"</f>
        <v>CENTRE DE SANTE DU MARAIS</v>
      </c>
      <c r="F700" t="str">
        <f>"3 RUE GENERAL BOURBAKI"</f>
        <v>3 RUE GENERAL BOURBAKI</v>
      </c>
      <c r="H700" t="str">
        <f>"64100"</f>
        <v>64100</v>
      </c>
      <c r="I700" t="str">
        <f>"BAYONNE"</f>
        <v>BAYONNE</v>
      </c>
      <c r="J700" t="str">
        <f>"06 80 08 29 67 "</f>
        <v xml:space="preserve">06 80 08 29 67 </v>
      </c>
      <c r="L700" s="1">
        <v>44389</v>
      </c>
      <c r="M700" t="str">
        <f t="shared" si="100"/>
        <v>124</v>
      </c>
      <c r="N700" t="str">
        <f t="shared" si="101"/>
        <v>Centre de Santé</v>
      </c>
      <c r="O700" t="str">
        <f>"60"</f>
        <v>60</v>
      </c>
      <c r="P700" t="str">
        <f>"Association Loi 1901 non Reconnue d'Utilité Publique"</f>
        <v>Association Loi 1901 non Reconnue d'Utilité Publique</v>
      </c>
      <c r="Q700" t="str">
        <f t="shared" si="108"/>
        <v>36</v>
      </c>
      <c r="R700" t="str">
        <f t="shared" si="109"/>
        <v>Tarifs conventionnels assurance maladie</v>
      </c>
      <c r="U700" t="str">
        <f>"420013971"</f>
        <v>420013971</v>
      </c>
    </row>
    <row r="701" spans="1:21" x14ac:dyDescent="0.3">
      <c r="A701" t="str">
        <f>"750066961"</f>
        <v>750066961</v>
      </c>
      <c r="B701" t="str">
        <f>"892 119 306 00017"</f>
        <v>892 119 306 00017</v>
      </c>
      <c r="D701" t="str">
        <f>"CDS OPHTALMOLOGIQUE ITALIE 2"</f>
        <v>CDS OPHTALMOLOGIQUE ITALIE 2</v>
      </c>
      <c r="F701" t="str">
        <f>"30 AVENUE D ITALIE"</f>
        <v>30 AVENUE D ITALIE</v>
      </c>
      <c r="G701" t="str">
        <f>"CCIAL ITALIE 2"</f>
        <v>CCIAL ITALIE 2</v>
      </c>
      <c r="H701" t="str">
        <f>"75013"</f>
        <v>75013</v>
      </c>
      <c r="I701" t="str">
        <f>"PARIS"</f>
        <v>PARIS</v>
      </c>
      <c r="J701" t="str">
        <f>"06 27 34 83 55 "</f>
        <v xml:space="preserve">06 27 34 83 55 </v>
      </c>
      <c r="L701" s="1">
        <v>44389</v>
      </c>
      <c r="M701" t="str">
        <f t="shared" si="100"/>
        <v>124</v>
      </c>
      <c r="N701" t="str">
        <f t="shared" si="101"/>
        <v>Centre de Santé</v>
      </c>
      <c r="O701" t="str">
        <f>"60"</f>
        <v>60</v>
      </c>
      <c r="P701" t="str">
        <f>"Association Loi 1901 non Reconnue d'Utilité Publique"</f>
        <v>Association Loi 1901 non Reconnue d'Utilité Publique</v>
      </c>
      <c r="Q701" t="str">
        <f t="shared" si="108"/>
        <v>36</v>
      </c>
      <c r="R701" t="str">
        <f t="shared" si="109"/>
        <v>Tarifs conventionnels assurance maladie</v>
      </c>
      <c r="U701" t="str">
        <f>"750066953"</f>
        <v>750066953</v>
      </c>
    </row>
    <row r="702" spans="1:21" x14ac:dyDescent="0.3">
      <c r="A702" t="str">
        <f>"920037389"</f>
        <v>920037389</v>
      </c>
      <c r="B702" t="str">
        <f>"893 190 231 00017"</f>
        <v>893 190 231 00017</v>
      </c>
      <c r="D702" t="str">
        <f>"CDS ONEDDENTAL ESPLANADE LA DEFENSE"</f>
        <v>CDS ONEDDENTAL ESPLANADE LA DEFENSE</v>
      </c>
      <c r="E702" t="str">
        <f>"7-9"</f>
        <v>7-9</v>
      </c>
      <c r="F702" t="str">
        <f>"7 ESPLANADE DU GENERAL DE GAULLE"</f>
        <v>7 ESPLANADE DU GENERAL DE GAULLE</v>
      </c>
      <c r="H702" t="str">
        <f>"92800"</f>
        <v>92800</v>
      </c>
      <c r="I702" t="str">
        <f>"PUTEAUX"</f>
        <v>PUTEAUX</v>
      </c>
      <c r="J702" t="str">
        <f>"01 77 50 61 82 "</f>
        <v xml:space="preserve">01 77 50 61 82 </v>
      </c>
      <c r="L702" s="1">
        <v>44389</v>
      </c>
      <c r="M702" t="str">
        <f t="shared" si="100"/>
        <v>124</v>
      </c>
      <c r="N702" t="str">
        <f t="shared" si="101"/>
        <v>Centre de Santé</v>
      </c>
      <c r="O702" t="str">
        <f>"60"</f>
        <v>60</v>
      </c>
      <c r="P702" t="str">
        <f>"Association Loi 1901 non Reconnue d'Utilité Publique"</f>
        <v>Association Loi 1901 non Reconnue d'Utilité Publique</v>
      </c>
      <c r="Q702" t="str">
        <f t="shared" si="108"/>
        <v>36</v>
      </c>
      <c r="R702" t="str">
        <f t="shared" si="109"/>
        <v>Tarifs conventionnels assurance maladie</v>
      </c>
      <c r="U702" t="str">
        <f>"920037371"</f>
        <v>920037371</v>
      </c>
    </row>
    <row r="703" spans="1:21" x14ac:dyDescent="0.3">
      <c r="A703" t="str">
        <f>"910025691"</f>
        <v>910025691</v>
      </c>
      <c r="B703" t="str">
        <f>"895 005 650 00026"</f>
        <v>895 005 650 00026</v>
      </c>
      <c r="D703" t="str">
        <f>"CDS DENTAIRE DE LA CROIX BLANCHE"</f>
        <v>CDS DENTAIRE DE LA CROIX BLANCHE</v>
      </c>
      <c r="F703" t="str">
        <f>"35 AVENUE DE L HUREPOIX"</f>
        <v>35 AVENUE DE L HUREPOIX</v>
      </c>
      <c r="G703" t="str">
        <f>"ZAC DE LA CROIX BLANCHE"</f>
        <v>ZAC DE LA CROIX BLANCHE</v>
      </c>
      <c r="H703" t="str">
        <f>"91700"</f>
        <v>91700</v>
      </c>
      <c r="I703" t="str">
        <f>"FLEURY MEROGIS"</f>
        <v>FLEURY MEROGIS</v>
      </c>
      <c r="L703" s="1">
        <v>44387</v>
      </c>
      <c r="M703" t="str">
        <f t="shared" si="100"/>
        <v>124</v>
      </c>
      <c r="N703" t="str">
        <f t="shared" si="101"/>
        <v>Centre de Santé</v>
      </c>
      <c r="O703" t="str">
        <f>"60"</f>
        <v>60</v>
      </c>
      <c r="P703" t="str">
        <f>"Association Loi 1901 non Reconnue d'Utilité Publique"</f>
        <v>Association Loi 1901 non Reconnue d'Utilité Publique</v>
      </c>
      <c r="Q703" t="str">
        <f t="shared" si="108"/>
        <v>36</v>
      </c>
      <c r="R703" t="str">
        <f t="shared" si="109"/>
        <v>Tarifs conventionnels assurance maladie</v>
      </c>
      <c r="U703" t="str">
        <f>"910025683"</f>
        <v>910025683</v>
      </c>
    </row>
    <row r="704" spans="1:21" x14ac:dyDescent="0.3">
      <c r="A704" t="str">
        <f>"110009289"</f>
        <v>110009289</v>
      </c>
      <c r="B704" t="str">
        <f>"211 103 015 00015"</f>
        <v>211 103 015 00015</v>
      </c>
      <c r="D704" t="str">
        <f>"CDS CABINET MEDICAL DE PUICHERIC"</f>
        <v>CDS CABINET MEDICAL DE PUICHERIC</v>
      </c>
      <c r="F704" t="str">
        <f>"AVENUE FRANÇOIS MITTERRAND"</f>
        <v>AVENUE FRANÇOIS MITTERRAND</v>
      </c>
      <c r="H704" t="str">
        <f>"11700"</f>
        <v>11700</v>
      </c>
      <c r="I704" t="str">
        <f>"PUICHERIC"</f>
        <v>PUICHERIC</v>
      </c>
      <c r="J704" t="str">
        <f>"04 68 49 47 50 "</f>
        <v xml:space="preserve">04 68 49 47 50 </v>
      </c>
      <c r="L704" s="1">
        <v>44386</v>
      </c>
      <c r="M704" t="str">
        <f t="shared" si="100"/>
        <v>124</v>
      </c>
      <c r="N704" t="str">
        <f t="shared" si="101"/>
        <v>Centre de Santé</v>
      </c>
      <c r="O704" t="str">
        <f>"03"</f>
        <v>03</v>
      </c>
      <c r="P704" t="str">
        <f>"Commune"</f>
        <v>Commune</v>
      </c>
      <c r="Q704" t="str">
        <f t="shared" si="108"/>
        <v>36</v>
      </c>
      <c r="R704" t="str">
        <f t="shared" si="109"/>
        <v>Tarifs conventionnels assurance maladie</v>
      </c>
      <c r="U704" t="str">
        <f>"110009271"</f>
        <v>110009271</v>
      </c>
    </row>
    <row r="705" spans="1:21" x14ac:dyDescent="0.3">
      <c r="A705" t="str">
        <f>"300019924"</f>
        <v>300019924</v>
      </c>
      <c r="B705" t="str">
        <f>"891 721 573 00014"</f>
        <v>891 721 573 00014</v>
      </c>
      <c r="D705" t="str">
        <f>"CENTRE D'OPHTALMOLOGIE OPHTANIMES"</f>
        <v>CENTRE D'OPHTALMOLOGIE OPHTANIMES</v>
      </c>
      <c r="F705" t="str">
        <f>"3 RUE CREMIEUX"</f>
        <v>3 RUE CREMIEUX</v>
      </c>
      <c r="H705" t="str">
        <f>"30000"</f>
        <v>30000</v>
      </c>
      <c r="I705" t="str">
        <f>"NIMES"</f>
        <v>NIMES</v>
      </c>
      <c r="J705" t="str">
        <f>"04 66 21 01 21 "</f>
        <v xml:space="preserve">04 66 21 01 21 </v>
      </c>
      <c r="L705" s="1">
        <v>44384</v>
      </c>
      <c r="M705" t="str">
        <f t="shared" si="100"/>
        <v>124</v>
      </c>
      <c r="N705" t="str">
        <f t="shared" si="101"/>
        <v>Centre de Santé</v>
      </c>
      <c r="O705" t="str">
        <f>"60"</f>
        <v>60</v>
      </c>
      <c r="P705" t="str">
        <f>"Association Loi 1901 non Reconnue d'Utilité Publique"</f>
        <v>Association Loi 1901 non Reconnue d'Utilité Publique</v>
      </c>
      <c r="Q705" t="str">
        <f t="shared" si="108"/>
        <v>36</v>
      </c>
      <c r="R705" t="str">
        <f t="shared" si="109"/>
        <v>Tarifs conventionnels assurance maladie</v>
      </c>
      <c r="U705" t="str">
        <f>"300019916"</f>
        <v>300019916</v>
      </c>
    </row>
    <row r="706" spans="1:21" x14ac:dyDescent="0.3">
      <c r="A706" t="str">
        <f>"750067787"</f>
        <v>750067787</v>
      </c>
      <c r="B706" t="str">
        <f>"891 074 619 00018"</f>
        <v>891 074 619 00018</v>
      </c>
      <c r="D706" t="str">
        <f>"CDS MEDICO DENTAIRE PARIS FLANDRE"</f>
        <v>CDS MEDICO DENTAIRE PARIS FLANDRE</v>
      </c>
      <c r="E706" t="str">
        <f>"117-127"</f>
        <v>117-127</v>
      </c>
      <c r="F706" t="str">
        <f>"117 AVENUE DE FLANDRE"</f>
        <v>117 AVENUE DE FLANDRE</v>
      </c>
      <c r="H706" t="str">
        <f>"75019"</f>
        <v>75019</v>
      </c>
      <c r="I706" t="str">
        <f>"PARIS"</f>
        <v>PARIS</v>
      </c>
      <c r="L706" s="1">
        <v>44382</v>
      </c>
      <c r="M706" t="str">
        <f t="shared" ref="M706:M769" si="112">"124"</f>
        <v>124</v>
      </c>
      <c r="N706" t="str">
        <f t="shared" ref="N706:N769" si="113">"Centre de Santé"</f>
        <v>Centre de Santé</v>
      </c>
      <c r="O706" t="str">
        <f>"60"</f>
        <v>60</v>
      </c>
      <c r="P706" t="str">
        <f>"Association Loi 1901 non Reconnue d'Utilité Publique"</f>
        <v>Association Loi 1901 non Reconnue d'Utilité Publique</v>
      </c>
      <c r="Q706" t="str">
        <f t="shared" si="108"/>
        <v>36</v>
      </c>
      <c r="R706" t="str">
        <f t="shared" si="109"/>
        <v>Tarifs conventionnels assurance maladie</v>
      </c>
      <c r="U706" t="str">
        <f>"750067779"</f>
        <v>750067779</v>
      </c>
    </row>
    <row r="707" spans="1:21" x14ac:dyDescent="0.3">
      <c r="A707" t="str">
        <f>"910025170"</f>
        <v>910025170</v>
      </c>
      <c r="B707" t="str">
        <f>"887 741 866 00016"</f>
        <v>887 741 866 00016</v>
      </c>
      <c r="D707" t="str">
        <f>"CDS CORBEIL"</f>
        <v>CDS CORBEIL</v>
      </c>
      <c r="F707" t="str">
        <f>"23 RUE DE PARIS"</f>
        <v>23 RUE DE PARIS</v>
      </c>
      <c r="H707" t="str">
        <f>"91100"</f>
        <v>91100</v>
      </c>
      <c r="I707" t="str">
        <f>"CORBEIL ESSONNES"</f>
        <v>CORBEIL ESSONNES</v>
      </c>
      <c r="J707" t="str">
        <f>"06 15 01 53 87 "</f>
        <v xml:space="preserve">06 15 01 53 87 </v>
      </c>
      <c r="L707" s="1">
        <v>44382</v>
      </c>
      <c r="M707" t="str">
        <f t="shared" si="112"/>
        <v>124</v>
      </c>
      <c r="N707" t="str">
        <f t="shared" si="113"/>
        <v>Centre de Santé</v>
      </c>
      <c r="O707" t="str">
        <f>"60"</f>
        <v>60</v>
      </c>
      <c r="P707" t="str">
        <f>"Association Loi 1901 non Reconnue d'Utilité Publique"</f>
        <v>Association Loi 1901 non Reconnue d'Utilité Publique</v>
      </c>
      <c r="Q707" t="str">
        <f t="shared" si="108"/>
        <v>36</v>
      </c>
      <c r="R707" t="str">
        <f t="shared" si="109"/>
        <v>Tarifs conventionnels assurance maladie</v>
      </c>
      <c r="U707" t="str">
        <f>"910025162"</f>
        <v>910025162</v>
      </c>
    </row>
    <row r="708" spans="1:21" x14ac:dyDescent="0.3">
      <c r="A708" t="str">
        <f>"920037488"</f>
        <v>920037488</v>
      </c>
      <c r="B708" t="str">
        <f>"899 203 004 00010"</f>
        <v>899 203 004 00010</v>
      </c>
      <c r="D708" t="str">
        <f>"CDS ESPACE DENTAIRE MALAKOFF"</f>
        <v>CDS ESPACE DENTAIRE MALAKOFF</v>
      </c>
      <c r="F708" t="str">
        <f>"112 BOULEVARD GABRIEL PERI"</f>
        <v>112 BOULEVARD GABRIEL PERI</v>
      </c>
      <c r="H708" t="str">
        <f>"92240"</f>
        <v>92240</v>
      </c>
      <c r="I708" t="str">
        <f>"MALAKOFF"</f>
        <v>MALAKOFF</v>
      </c>
      <c r="J708" t="str">
        <f>"01 85 62 62 00 "</f>
        <v xml:space="preserve">01 85 62 62 00 </v>
      </c>
      <c r="L708" s="1">
        <v>44382</v>
      </c>
      <c r="M708" t="str">
        <f t="shared" si="112"/>
        <v>124</v>
      </c>
      <c r="N708" t="str">
        <f t="shared" si="113"/>
        <v>Centre de Santé</v>
      </c>
      <c r="O708" t="str">
        <f>"60"</f>
        <v>60</v>
      </c>
      <c r="P708" t="str">
        <f>"Association Loi 1901 non Reconnue d'Utilité Publique"</f>
        <v>Association Loi 1901 non Reconnue d'Utilité Publique</v>
      </c>
      <c r="Q708" t="str">
        <f t="shared" si="108"/>
        <v>36</v>
      </c>
      <c r="R708" t="str">
        <f t="shared" si="109"/>
        <v>Tarifs conventionnels assurance maladie</v>
      </c>
      <c r="U708" t="str">
        <f>"920037470"</f>
        <v>920037470</v>
      </c>
    </row>
    <row r="709" spans="1:21" x14ac:dyDescent="0.3">
      <c r="A709" t="str">
        <f>"750066771"</f>
        <v>750066771</v>
      </c>
      <c r="B709" t="str">
        <f>"775 726 706 00010"</f>
        <v>775 726 706 00010</v>
      </c>
      <c r="D709" t="str">
        <f>"CDS MARIE THERESE PARIS 15"</f>
        <v>CDS MARIE THERESE PARIS 15</v>
      </c>
      <c r="F709" t="str">
        <f>"65 RUE DE CASTAGNARY"</f>
        <v>65 RUE DE CASTAGNARY</v>
      </c>
      <c r="H709" t="str">
        <f>"75015"</f>
        <v>75015</v>
      </c>
      <c r="I709" t="str">
        <f>"PARIS"</f>
        <v>PARIS</v>
      </c>
      <c r="J709" t="str">
        <f>"01 44 12 84 15 "</f>
        <v xml:space="preserve">01 44 12 84 15 </v>
      </c>
      <c r="L709" s="1">
        <v>44381</v>
      </c>
      <c r="M709" t="str">
        <f t="shared" si="112"/>
        <v>124</v>
      </c>
      <c r="N709" t="str">
        <f t="shared" si="113"/>
        <v>Centre de Santé</v>
      </c>
      <c r="O709" t="str">
        <f>"61"</f>
        <v>61</v>
      </c>
      <c r="P709" t="str">
        <f>"Association Loi 1901 Reconnue d'Utilité Publique"</f>
        <v>Association Loi 1901 Reconnue d'Utilité Publique</v>
      </c>
      <c r="Q709" t="str">
        <f t="shared" si="108"/>
        <v>36</v>
      </c>
      <c r="R709" t="str">
        <f t="shared" si="109"/>
        <v>Tarifs conventionnels assurance maladie</v>
      </c>
      <c r="U709" t="str">
        <f>"920000445"</f>
        <v>920000445</v>
      </c>
    </row>
    <row r="710" spans="1:21" x14ac:dyDescent="0.3">
      <c r="A710" t="str">
        <f>"160017182"</f>
        <v>160017182</v>
      </c>
      <c r="B710" t="str">
        <f>"892 471 327 00023"</f>
        <v>892 471 327 00023</v>
      </c>
      <c r="D710" t="str">
        <f>"CDS DENTAIRE MEDIMGP"</f>
        <v>CDS DENTAIRE MEDIMGP</v>
      </c>
      <c r="F710" t="str">
        <f>"5 PLACE DE LA MAIRIE"</f>
        <v>5 PLACE DE LA MAIRIE</v>
      </c>
      <c r="H710" t="str">
        <f>"16310"</f>
        <v>16310</v>
      </c>
      <c r="I710" t="str">
        <f>"MONTEMBOEUF"</f>
        <v>MONTEMBOEUF</v>
      </c>
      <c r="L710" s="1">
        <v>44378</v>
      </c>
      <c r="M710" t="str">
        <f t="shared" si="112"/>
        <v>124</v>
      </c>
      <c r="N710" t="str">
        <f t="shared" si="113"/>
        <v>Centre de Santé</v>
      </c>
      <c r="O710" t="str">
        <f>"60"</f>
        <v>60</v>
      </c>
      <c r="P710" t="str">
        <f>"Association Loi 1901 non Reconnue d'Utilité Publique"</f>
        <v>Association Loi 1901 non Reconnue d'Utilité Publique</v>
      </c>
      <c r="Q710" t="str">
        <f t="shared" ref="Q710:Q737" si="114">"36"</f>
        <v>36</v>
      </c>
      <c r="R710" t="str">
        <f t="shared" ref="R710:R737" si="115">"Tarifs conventionnels assurance maladie"</f>
        <v>Tarifs conventionnels assurance maladie</v>
      </c>
      <c r="U710" t="str">
        <f>"330061854"</f>
        <v>330061854</v>
      </c>
    </row>
    <row r="711" spans="1:21" x14ac:dyDescent="0.3">
      <c r="A711" t="str">
        <f>"380025692"</f>
        <v>380025692</v>
      </c>
      <c r="D711" t="str">
        <f>"CENTRE DE SANTE DU CH DE VIENNE"</f>
        <v>CENTRE DE SANTE DU CH DE VIENNE</v>
      </c>
      <c r="F711" t="str">
        <f>"90 RUE DU DOCTEUR JEAN PAUL CAYOT"</f>
        <v>90 RUE DU DOCTEUR JEAN PAUL CAYOT</v>
      </c>
      <c r="H711" t="str">
        <f>"38150"</f>
        <v>38150</v>
      </c>
      <c r="I711" t="str">
        <f>"ROUSSILLON"</f>
        <v>ROUSSILLON</v>
      </c>
      <c r="J711" t="str">
        <f>"04 28 87 38 00 "</f>
        <v xml:space="preserve">04 28 87 38 00 </v>
      </c>
      <c r="L711" s="1">
        <v>44378</v>
      </c>
      <c r="M711" t="str">
        <f t="shared" si="112"/>
        <v>124</v>
      </c>
      <c r="N711" t="str">
        <f t="shared" si="113"/>
        <v>Centre de Santé</v>
      </c>
      <c r="O711" t="str">
        <f>"60"</f>
        <v>60</v>
      </c>
      <c r="P711" t="str">
        <f>"Association Loi 1901 non Reconnue d'Utilité Publique"</f>
        <v>Association Loi 1901 non Reconnue d'Utilité Publique</v>
      </c>
      <c r="Q711" t="str">
        <f t="shared" si="114"/>
        <v>36</v>
      </c>
      <c r="R711" t="str">
        <f t="shared" si="115"/>
        <v>Tarifs conventionnels assurance maladie</v>
      </c>
      <c r="U711" t="str">
        <f>"690002225"</f>
        <v>690002225</v>
      </c>
    </row>
    <row r="712" spans="1:21" x14ac:dyDescent="0.3">
      <c r="A712" t="str">
        <f>"410010920"</f>
        <v>410010920</v>
      </c>
      <c r="B712" t="str">
        <f>"244 100 780 00018"</f>
        <v>244 100 780 00018</v>
      </c>
      <c r="D712" t="str">
        <f>"CDS CC DE LA SOLOGNE DES ETANGS"</f>
        <v>CDS CC DE LA SOLOGNE DES ETANGS</v>
      </c>
      <c r="F712" t="str">
        <f>"42 RUE DE BLOIS"</f>
        <v>42 RUE DE BLOIS</v>
      </c>
      <c r="H712" t="str">
        <f>"41220"</f>
        <v>41220</v>
      </c>
      <c r="I712" t="str">
        <f>"DHUIZON"</f>
        <v>DHUIZON</v>
      </c>
      <c r="J712" t="str">
        <f>"02 54 98 31 17 "</f>
        <v xml:space="preserve">02 54 98 31 17 </v>
      </c>
      <c r="L712" s="1">
        <v>44378</v>
      </c>
      <c r="M712" t="str">
        <f t="shared" si="112"/>
        <v>124</v>
      </c>
      <c r="N712" t="str">
        <f t="shared" si="113"/>
        <v>Centre de Santé</v>
      </c>
      <c r="O712" t="str">
        <f>"03"</f>
        <v>03</v>
      </c>
      <c r="P712" t="str">
        <f>"Commune"</f>
        <v>Commune</v>
      </c>
      <c r="Q712" t="str">
        <f t="shared" si="114"/>
        <v>36</v>
      </c>
      <c r="R712" t="str">
        <f t="shared" si="115"/>
        <v>Tarifs conventionnels assurance maladie</v>
      </c>
      <c r="U712" t="str">
        <f>"410010912"</f>
        <v>410010912</v>
      </c>
    </row>
    <row r="713" spans="1:21" x14ac:dyDescent="0.3">
      <c r="A713" t="str">
        <f>"690050315"</f>
        <v>690050315</v>
      </c>
      <c r="B713" t="str">
        <f>"891 158 651 00010"</f>
        <v>891 158 651 00010</v>
      </c>
      <c r="D713" t="str">
        <f>"CENTRE DE SANTE MEDEOR DE BESSENAY"</f>
        <v>CENTRE DE SANTE MEDEOR DE BESSENAY</v>
      </c>
      <c r="F713" t="str">
        <f>"6 CHEMIN DE LA DRIVONNE"</f>
        <v>6 CHEMIN DE LA DRIVONNE</v>
      </c>
      <c r="H713" t="str">
        <f>"69690"</f>
        <v>69690</v>
      </c>
      <c r="I713" t="str">
        <f>"BESSENAY"</f>
        <v>BESSENAY</v>
      </c>
      <c r="L713" s="1">
        <v>44378</v>
      </c>
      <c r="M713" t="str">
        <f t="shared" si="112"/>
        <v>124</v>
      </c>
      <c r="N713" t="str">
        <f t="shared" si="113"/>
        <v>Centre de Santé</v>
      </c>
      <c r="O713" t="str">
        <f>"60"</f>
        <v>60</v>
      </c>
      <c r="P713" t="str">
        <f>"Association Loi 1901 non Reconnue d'Utilité Publique"</f>
        <v>Association Loi 1901 non Reconnue d'Utilité Publique</v>
      </c>
      <c r="Q713" t="str">
        <f t="shared" si="114"/>
        <v>36</v>
      </c>
      <c r="R713" t="str">
        <f t="shared" si="115"/>
        <v>Tarifs conventionnels assurance maladie</v>
      </c>
      <c r="U713" t="str">
        <f>"420017295"</f>
        <v>420017295</v>
      </c>
    </row>
    <row r="714" spans="1:21" x14ac:dyDescent="0.3">
      <c r="A714" t="str">
        <f>"930029871"</f>
        <v>930029871</v>
      </c>
      <c r="B714" t="str">
        <f>"883 044 158 00029"</f>
        <v>883 044 158 00029</v>
      </c>
      <c r="D714" t="str">
        <f>"CDS ACMR"</f>
        <v>CDS ACMR</v>
      </c>
      <c r="F714" t="str">
        <f>"23 AVENUE DE LA RESISTANCE"</f>
        <v>23 AVENUE DE LA RESISTANCE</v>
      </c>
      <c r="H714" t="str">
        <f>"93340"</f>
        <v>93340</v>
      </c>
      <c r="I714" t="str">
        <f>"LE RAINCY"</f>
        <v>LE RAINCY</v>
      </c>
      <c r="J714" t="str">
        <f>"01 43 08 09 08 "</f>
        <v xml:space="preserve">01 43 08 09 08 </v>
      </c>
      <c r="L714" s="1">
        <v>44378</v>
      </c>
      <c r="M714" t="str">
        <f t="shared" si="112"/>
        <v>124</v>
      </c>
      <c r="N714" t="str">
        <f t="shared" si="113"/>
        <v>Centre de Santé</v>
      </c>
      <c r="O714" t="str">
        <f>"60"</f>
        <v>60</v>
      </c>
      <c r="P714" t="str">
        <f>"Association Loi 1901 non Reconnue d'Utilité Publique"</f>
        <v>Association Loi 1901 non Reconnue d'Utilité Publique</v>
      </c>
      <c r="Q714" t="str">
        <f t="shared" si="114"/>
        <v>36</v>
      </c>
      <c r="R714" t="str">
        <f t="shared" si="115"/>
        <v>Tarifs conventionnels assurance maladie</v>
      </c>
      <c r="U714" t="str">
        <f>"930029863"</f>
        <v>930029863</v>
      </c>
    </row>
    <row r="715" spans="1:21" x14ac:dyDescent="0.3">
      <c r="A715" t="str">
        <f>"570029850"</f>
        <v>570029850</v>
      </c>
      <c r="B715" t="str">
        <f>"892 938 101 00011"</f>
        <v>892 938 101 00011</v>
      </c>
      <c r="D715" t="str">
        <f>"CLINADENT METZ-FOCH"</f>
        <v>CLINADENT METZ-FOCH</v>
      </c>
      <c r="E715" t="str">
        <f>"BIS"</f>
        <v>BIS</v>
      </c>
      <c r="F715" t="str">
        <f>"4 RUE FRANCOIS DE CUREL"</f>
        <v>4 RUE FRANCOIS DE CUREL</v>
      </c>
      <c r="H715" t="str">
        <f>"57000"</f>
        <v>57000</v>
      </c>
      <c r="I715" t="str">
        <f>"METZ"</f>
        <v>METZ</v>
      </c>
      <c r="J715" t="str">
        <f>"03 72 48 00 30 "</f>
        <v xml:space="preserve">03 72 48 00 30 </v>
      </c>
      <c r="L715" s="1">
        <v>44377</v>
      </c>
      <c r="M715" t="str">
        <f t="shared" si="112"/>
        <v>124</v>
      </c>
      <c r="N715" t="str">
        <f t="shared" si="113"/>
        <v>Centre de Santé</v>
      </c>
      <c r="O715" t="str">
        <f>"60"</f>
        <v>60</v>
      </c>
      <c r="P715" t="str">
        <f>"Association Loi 1901 non Reconnue d'Utilité Publique"</f>
        <v>Association Loi 1901 non Reconnue d'Utilité Publique</v>
      </c>
      <c r="Q715" t="str">
        <f t="shared" si="114"/>
        <v>36</v>
      </c>
      <c r="R715" t="str">
        <f t="shared" si="115"/>
        <v>Tarifs conventionnels assurance maladie</v>
      </c>
      <c r="U715" t="str">
        <f>"920037538"</f>
        <v>920037538</v>
      </c>
    </row>
    <row r="716" spans="1:21" x14ac:dyDescent="0.3">
      <c r="A716" t="str">
        <f>"930030853"</f>
        <v>930030853</v>
      </c>
      <c r="B716" t="str">
        <f>"897 699 039 00011"</f>
        <v>897 699 039 00011</v>
      </c>
      <c r="D716" t="str">
        <f>"CDS ESPACE SANTE AULNAY"</f>
        <v>CDS ESPACE SANTE AULNAY</v>
      </c>
      <c r="F716" t="str">
        <f>"9 RUE DU ONZE NOVEMBRE"</f>
        <v>9 RUE DU ONZE NOVEMBRE</v>
      </c>
      <c r="H716" t="str">
        <f>"93600"</f>
        <v>93600</v>
      </c>
      <c r="I716" t="str">
        <f>"AULNAY SOUS BOIS"</f>
        <v>AULNAY SOUS BOIS</v>
      </c>
      <c r="J716" t="str">
        <f>"01 86 70 80 80 "</f>
        <v xml:space="preserve">01 86 70 80 80 </v>
      </c>
      <c r="L716" s="1">
        <v>44377</v>
      </c>
      <c r="M716" t="str">
        <f t="shared" si="112"/>
        <v>124</v>
      </c>
      <c r="N716" t="str">
        <f t="shared" si="113"/>
        <v>Centre de Santé</v>
      </c>
      <c r="O716" t="str">
        <f>"60"</f>
        <v>60</v>
      </c>
      <c r="P716" t="str">
        <f>"Association Loi 1901 non Reconnue d'Utilité Publique"</f>
        <v>Association Loi 1901 non Reconnue d'Utilité Publique</v>
      </c>
      <c r="Q716" t="str">
        <f t="shared" si="114"/>
        <v>36</v>
      </c>
      <c r="R716" t="str">
        <f t="shared" si="115"/>
        <v>Tarifs conventionnels assurance maladie</v>
      </c>
      <c r="U716" t="str">
        <f>"930030846"</f>
        <v>930030846</v>
      </c>
    </row>
    <row r="717" spans="1:21" x14ac:dyDescent="0.3">
      <c r="A717" t="str">
        <f>"260022033"</f>
        <v>260022033</v>
      </c>
      <c r="B717" t="str">
        <f>"971 502 596 00069"</f>
        <v>971 502 596 00069</v>
      </c>
      <c r="D717" t="str">
        <f>"CENTRE DE SANTE BOURG DE PEAGE HPEL"</f>
        <v>CENTRE DE SANTE BOURG DE PEAGE HPEL</v>
      </c>
      <c r="F717" t="str">
        <f>"31 RUE DU DOCTEUR EYNARD"</f>
        <v>31 RUE DU DOCTEUR EYNARD</v>
      </c>
      <c r="H717" t="str">
        <f>"26300"</f>
        <v>26300</v>
      </c>
      <c r="I717" t="str">
        <f>"BOURG DE PEAGE"</f>
        <v>BOURG DE PEAGE</v>
      </c>
      <c r="L717" s="1">
        <v>44376</v>
      </c>
      <c r="M717" t="str">
        <f t="shared" si="112"/>
        <v>124</v>
      </c>
      <c r="N717" t="str">
        <f t="shared" si="113"/>
        <v>Centre de Santé</v>
      </c>
      <c r="O717" t="str">
        <f>"95"</f>
        <v>95</v>
      </c>
      <c r="P717" t="str">
        <f>"Société par Actions Simplifiée (S.A.S.)"</f>
        <v>Société par Actions Simplifiée (S.A.S.)</v>
      </c>
      <c r="Q717" t="str">
        <f t="shared" si="114"/>
        <v>36</v>
      </c>
      <c r="R717" t="str">
        <f t="shared" si="115"/>
        <v>Tarifs conventionnels assurance maladie</v>
      </c>
      <c r="U717" t="str">
        <f>"690000377"</f>
        <v>690000377</v>
      </c>
    </row>
    <row r="718" spans="1:21" x14ac:dyDescent="0.3">
      <c r="A718" t="str">
        <f>"410010896"</f>
        <v>410010896</v>
      </c>
      <c r="B718" t="str">
        <f>"892 934 043 00019"</f>
        <v>892 934 043 00019</v>
      </c>
      <c r="D718" t="str">
        <f>"CENTRE DE SANTE DENTAIRE DE MORÉE"</f>
        <v>CENTRE DE SANTE DENTAIRE DE MORÉE</v>
      </c>
      <c r="F718" t="str">
        <f>"17 MAIL MAURICE CANARD"</f>
        <v>17 MAIL MAURICE CANARD</v>
      </c>
      <c r="H718" t="str">
        <f>"41160"</f>
        <v>41160</v>
      </c>
      <c r="I718" t="str">
        <f>"MOREE"</f>
        <v>MOREE</v>
      </c>
      <c r="J718" t="str">
        <f>"06 62 61 81 04 "</f>
        <v xml:space="preserve">06 62 61 81 04 </v>
      </c>
      <c r="L718" s="1">
        <v>44376</v>
      </c>
      <c r="M718" t="str">
        <f t="shared" si="112"/>
        <v>124</v>
      </c>
      <c r="N718" t="str">
        <f t="shared" si="113"/>
        <v>Centre de Santé</v>
      </c>
      <c r="O718" t="str">
        <f t="shared" ref="O718:O734" si="116">"60"</f>
        <v>60</v>
      </c>
      <c r="P718" t="str">
        <f t="shared" ref="P718:P734" si="117">"Association Loi 1901 non Reconnue d'Utilité Publique"</f>
        <v>Association Loi 1901 non Reconnue d'Utilité Publique</v>
      </c>
      <c r="Q718" t="str">
        <f t="shared" si="114"/>
        <v>36</v>
      </c>
      <c r="R718" t="str">
        <f t="shared" si="115"/>
        <v>Tarifs conventionnels assurance maladie</v>
      </c>
      <c r="U718" t="str">
        <f>"410010888"</f>
        <v>410010888</v>
      </c>
    </row>
    <row r="719" spans="1:21" x14ac:dyDescent="0.3">
      <c r="A719" t="str">
        <f>"140033333"</f>
        <v>140033333</v>
      </c>
      <c r="B719" t="str">
        <f>"892 202 920 00021"</f>
        <v>892 202 920 00021</v>
      </c>
      <c r="D719" t="str">
        <f>"CENTRE DENTAIRE DE LISIEUX"</f>
        <v>CENTRE DENTAIRE DE LISIEUX</v>
      </c>
      <c r="F719" t="str">
        <f>"5 BOULEVARD SAINTE ANNE"</f>
        <v>5 BOULEVARD SAINTE ANNE</v>
      </c>
      <c r="H719" t="str">
        <f>"14100"</f>
        <v>14100</v>
      </c>
      <c r="I719" t="str">
        <f>"LISIEUX"</f>
        <v>LISIEUX</v>
      </c>
      <c r="J719" t="str">
        <f>"06 10 10 37 87 "</f>
        <v xml:space="preserve">06 10 10 37 87 </v>
      </c>
      <c r="L719" s="1">
        <v>44375</v>
      </c>
      <c r="M719" t="str">
        <f t="shared" si="112"/>
        <v>124</v>
      </c>
      <c r="N719" t="str">
        <f t="shared" si="113"/>
        <v>Centre de Santé</v>
      </c>
      <c r="O719" t="str">
        <f t="shared" si="116"/>
        <v>60</v>
      </c>
      <c r="P719" t="str">
        <f t="shared" si="117"/>
        <v>Association Loi 1901 non Reconnue d'Utilité Publique</v>
      </c>
      <c r="Q719" t="str">
        <f t="shared" si="114"/>
        <v>36</v>
      </c>
      <c r="R719" t="str">
        <f t="shared" si="115"/>
        <v>Tarifs conventionnels assurance maladie</v>
      </c>
      <c r="U719" t="str">
        <f>"140033838"</f>
        <v>140033838</v>
      </c>
    </row>
    <row r="720" spans="1:21" x14ac:dyDescent="0.3">
      <c r="A720" t="str">
        <f>"750067514"</f>
        <v>750067514</v>
      </c>
      <c r="B720" t="str">
        <f>"842 032 203 00023"</f>
        <v>842 032 203 00023</v>
      </c>
      <c r="D720" t="str">
        <f>"CDS ACCESS SANTE PARIS 17"</f>
        <v>CDS ACCESS SANTE PARIS 17</v>
      </c>
      <c r="F720" t="str">
        <f>"6 RUE FOURCROY"</f>
        <v>6 RUE FOURCROY</v>
      </c>
      <c r="H720" t="str">
        <f>"75017"</f>
        <v>75017</v>
      </c>
      <c r="I720" t="str">
        <f>"PARIS"</f>
        <v>PARIS</v>
      </c>
      <c r="J720" t="str">
        <f>"01 84 80 44 05 "</f>
        <v xml:space="preserve">01 84 80 44 05 </v>
      </c>
      <c r="L720" s="1">
        <v>44375</v>
      </c>
      <c r="M720" t="str">
        <f t="shared" si="112"/>
        <v>124</v>
      </c>
      <c r="N720" t="str">
        <f t="shared" si="113"/>
        <v>Centre de Santé</v>
      </c>
      <c r="O720" t="str">
        <f t="shared" si="116"/>
        <v>60</v>
      </c>
      <c r="P720" t="str">
        <f t="shared" si="117"/>
        <v>Association Loi 1901 non Reconnue d'Utilité Publique</v>
      </c>
      <c r="Q720" t="str">
        <f t="shared" si="114"/>
        <v>36</v>
      </c>
      <c r="R720" t="str">
        <f t="shared" si="115"/>
        <v>Tarifs conventionnels assurance maladie</v>
      </c>
      <c r="U720" t="str">
        <f>"750062200"</f>
        <v>750062200</v>
      </c>
    </row>
    <row r="721" spans="1:21" x14ac:dyDescent="0.3">
      <c r="A721" t="str">
        <f>"770023885"</f>
        <v>770023885</v>
      </c>
      <c r="B721" t="str">
        <f>"891 123 440 00010"</f>
        <v>891 123 440 00010</v>
      </c>
      <c r="D721" t="str">
        <f>"CDS OPHTALMOLOGIQUE CLAYE SOUILLY"</f>
        <v>CDS OPHTALMOLOGIQUE CLAYE SOUILLY</v>
      </c>
      <c r="F721" t="str">
        <f>"3 RUE ROBERT SCHUMAN"</f>
        <v>3 RUE ROBERT SCHUMAN</v>
      </c>
      <c r="H721" t="str">
        <f>"77410"</f>
        <v>77410</v>
      </c>
      <c r="I721" t="str">
        <f>"CLAYE SOUILLY"</f>
        <v>CLAYE SOUILLY</v>
      </c>
      <c r="J721" t="str">
        <f>"01 81 80 80 60 "</f>
        <v xml:space="preserve">01 81 80 80 60 </v>
      </c>
      <c r="L721" s="1">
        <v>44375</v>
      </c>
      <c r="M721" t="str">
        <f t="shared" si="112"/>
        <v>124</v>
      </c>
      <c r="N721" t="str">
        <f t="shared" si="113"/>
        <v>Centre de Santé</v>
      </c>
      <c r="O721" t="str">
        <f t="shared" si="116"/>
        <v>60</v>
      </c>
      <c r="P721" t="str">
        <f t="shared" si="117"/>
        <v>Association Loi 1901 non Reconnue d'Utilité Publique</v>
      </c>
      <c r="Q721" t="str">
        <f t="shared" si="114"/>
        <v>36</v>
      </c>
      <c r="R721" t="str">
        <f t="shared" si="115"/>
        <v>Tarifs conventionnels assurance maladie</v>
      </c>
      <c r="U721" t="str">
        <f>"770023877"</f>
        <v>770023877</v>
      </c>
    </row>
    <row r="722" spans="1:21" x14ac:dyDescent="0.3">
      <c r="A722" t="str">
        <f>"930030820"</f>
        <v>930030820</v>
      </c>
      <c r="B722" t="str">
        <f>"899 326 359 00010"</f>
        <v>899 326 359 00010</v>
      </c>
      <c r="D722" t="str">
        <f>"CDS ACCES VISION LES LILAS"</f>
        <v>CDS ACCES VISION LES LILAS</v>
      </c>
      <c r="F722" t="str">
        <f>"158 RUE DE PARIS"</f>
        <v>158 RUE DE PARIS</v>
      </c>
      <c r="H722" t="str">
        <f>"93260"</f>
        <v>93260</v>
      </c>
      <c r="I722" t="str">
        <f>"LES LILAS"</f>
        <v>LES LILAS</v>
      </c>
      <c r="J722" t="str">
        <f>"06 99 25 26 05 "</f>
        <v xml:space="preserve">06 99 25 26 05 </v>
      </c>
      <c r="L722" s="1">
        <v>44375</v>
      </c>
      <c r="M722" t="str">
        <f t="shared" si="112"/>
        <v>124</v>
      </c>
      <c r="N722" t="str">
        <f t="shared" si="113"/>
        <v>Centre de Santé</v>
      </c>
      <c r="O722" t="str">
        <f t="shared" si="116"/>
        <v>60</v>
      </c>
      <c r="P722" t="str">
        <f t="shared" si="117"/>
        <v>Association Loi 1901 non Reconnue d'Utilité Publique</v>
      </c>
      <c r="Q722" t="str">
        <f t="shared" si="114"/>
        <v>36</v>
      </c>
      <c r="R722" t="str">
        <f t="shared" si="115"/>
        <v>Tarifs conventionnels assurance maladie</v>
      </c>
      <c r="U722" t="str">
        <f>"940027394"</f>
        <v>940027394</v>
      </c>
    </row>
    <row r="723" spans="1:21" x14ac:dyDescent="0.3">
      <c r="A723" t="str">
        <f>"940027444"</f>
        <v>940027444</v>
      </c>
      <c r="B723" t="str">
        <f>"898 365 960 00019"</f>
        <v>898 365 960 00019</v>
      </c>
      <c r="D723" t="str">
        <f>"CDS ACCES VISION LA VARENNE"</f>
        <v>CDS ACCES VISION LA VARENNE</v>
      </c>
      <c r="F723" t="str">
        <f>"62 AVENUE DU BAC"</f>
        <v>62 AVENUE DU BAC</v>
      </c>
      <c r="H723" t="str">
        <f>"94210"</f>
        <v>94210</v>
      </c>
      <c r="I723" t="str">
        <f>"ST MAUR DES FOSSES"</f>
        <v>ST MAUR DES FOSSES</v>
      </c>
      <c r="J723" t="str">
        <f>"06 99 25 26 05 "</f>
        <v xml:space="preserve">06 99 25 26 05 </v>
      </c>
      <c r="L723" s="1">
        <v>44375</v>
      </c>
      <c r="M723" t="str">
        <f t="shared" si="112"/>
        <v>124</v>
      </c>
      <c r="N723" t="str">
        <f t="shared" si="113"/>
        <v>Centre de Santé</v>
      </c>
      <c r="O723" t="str">
        <f t="shared" si="116"/>
        <v>60</v>
      </c>
      <c r="P723" t="str">
        <f t="shared" si="117"/>
        <v>Association Loi 1901 non Reconnue d'Utilité Publique</v>
      </c>
      <c r="Q723" t="str">
        <f t="shared" si="114"/>
        <v>36</v>
      </c>
      <c r="R723" t="str">
        <f t="shared" si="115"/>
        <v>Tarifs conventionnels assurance maladie</v>
      </c>
      <c r="U723" t="str">
        <f>"940027436"</f>
        <v>940027436</v>
      </c>
    </row>
    <row r="724" spans="1:21" x14ac:dyDescent="0.3">
      <c r="A724" t="str">
        <f>"950045708"</f>
        <v>950045708</v>
      </c>
      <c r="B724" t="str">
        <f>"892 855 677 00019"</f>
        <v>892 855 677 00019</v>
      </c>
      <c r="D724" t="str">
        <f>"CDS DENTAIRE DE PONTOISE"</f>
        <v>CDS DENTAIRE DE PONTOISE</v>
      </c>
      <c r="F724" t="str">
        <f>"1 PLACE DU GENERAL DE GAULLE"</f>
        <v>1 PLACE DU GENERAL DE GAULLE</v>
      </c>
      <c r="H724" t="str">
        <f>"95300"</f>
        <v>95300</v>
      </c>
      <c r="I724" t="str">
        <f>"PONTOISE"</f>
        <v>PONTOISE</v>
      </c>
      <c r="J724" t="str">
        <f>"06 49 82 10 85 "</f>
        <v xml:space="preserve">06 49 82 10 85 </v>
      </c>
      <c r="L724" s="1">
        <v>44375</v>
      </c>
      <c r="M724" t="str">
        <f t="shared" si="112"/>
        <v>124</v>
      </c>
      <c r="N724" t="str">
        <f t="shared" si="113"/>
        <v>Centre de Santé</v>
      </c>
      <c r="O724" t="str">
        <f t="shared" si="116"/>
        <v>60</v>
      </c>
      <c r="P724" t="str">
        <f t="shared" si="117"/>
        <v>Association Loi 1901 non Reconnue d'Utilité Publique</v>
      </c>
      <c r="Q724" t="str">
        <f t="shared" si="114"/>
        <v>36</v>
      </c>
      <c r="R724" t="str">
        <f t="shared" si="115"/>
        <v>Tarifs conventionnels assurance maladie</v>
      </c>
      <c r="U724" t="str">
        <f>"950045690"</f>
        <v>950045690</v>
      </c>
    </row>
    <row r="725" spans="1:21" x14ac:dyDescent="0.3">
      <c r="A725" t="str">
        <f>"950045815"</f>
        <v>950045815</v>
      </c>
      <c r="B725" t="str">
        <f>"894 400 076 00028"</f>
        <v>894 400 076 00028</v>
      </c>
      <c r="D725" t="str">
        <f>"CDS DENTAIRE VISDENT"</f>
        <v>CDS DENTAIRE VISDENT</v>
      </c>
      <c r="F725" t="str">
        <f>"199 RUE DU GENERAL DE GAULLE"</f>
        <v>199 RUE DU GENERAL DE GAULLE</v>
      </c>
      <c r="G725" t="str">
        <f>"ZAC DE LA GARE"</f>
        <v>ZAC DE LA GARE</v>
      </c>
      <c r="H725" t="str">
        <f>"95370"</f>
        <v>95370</v>
      </c>
      <c r="I725" t="str">
        <f>"MONTIGNY LES CORMEILLES"</f>
        <v>MONTIGNY LES CORMEILLES</v>
      </c>
      <c r="J725" t="str">
        <f>"01 71 67 64 47 "</f>
        <v xml:space="preserve">01 71 67 64 47 </v>
      </c>
      <c r="L725" s="1">
        <v>44375</v>
      </c>
      <c r="M725" t="str">
        <f t="shared" si="112"/>
        <v>124</v>
      </c>
      <c r="N725" t="str">
        <f t="shared" si="113"/>
        <v>Centre de Santé</v>
      </c>
      <c r="O725" t="str">
        <f t="shared" si="116"/>
        <v>60</v>
      </c>
      <c r="P725" t="str">
        <f t="shared" si="117"/>
        <v>Association Loi 1901 non Reconnue d'Utilité Publique</v>
      </c>
      <c r="Q725" t="str">
        <f t="shared" si="114"/>
        <v>36</v>
      </c>
      <c r="R725" t="str">
        <f t="shared" si="115"/>
        <v>Tarifs conventionnels assurance maladie</v>
      </c>
      <c r="U725" t="str">
        <f>"950045807"</f>
        <v>950045807</v>
      </c>
    </row>
    <row r="726" spans="1:21" x14ac:dyDescent="0.3">
      <c r="A726" t="str">
        <f>"330062043"</f>
        <v>330062043</v>
      </c>
      <c r="B726" t="str">
        <f>"894 221 076 00017"</f>
        <v>894 221 076 00017</v>
      </c>
      <c r="D726" t="str">
        <f>"CDS DENTAIRE VERTUO LIBOURNE"</f>
        <v>CDS DENTAIRE VERTUO LIBOURNE</v>
      </c>
      <c r="E726" t="str">
        <f>"CENTRE COMMERCIAL CARREFOUR"</f>
        <v>CENTRE COMMERCIAL CARREFOUR</v>
      </c>
      <c r="F726" t="str">
        <f>"ROUTE DE CASTILLON"</f>
        <v>ROUTE DE CASTILLON</v>
      </c>
      <c r="H726" t="str">
        <f>"33500"</f>
        <v>33500</v>
      </c>
      <c r="I726" t="str">
        <f>"LIBOURNE"</f>
        <v>LIBOURNE</v>
      </c>
      <c r="J726" t="str">
        <f>"06 79 84 20 31 "</f>
        <v xml:space="preserve">06 79 84 20 31 </v>
      </c>
      <c r="L726" s="1">
        <v>44369</v>
      </c>
      <c r="M726" t="str">
        <f t="shared" si="112"/>
        <v>124</v>
      </c>
      <c r="N726" t="str">
        <f t="shared" si="113"/>
        <v>Centre de Santé</v>
      </c>
      <c r="O726" t="str">
        <f t="shared" si="116"/>
        <v>60</v>
      </c>
      <c r="P726" t="str">
        <f t="shared" si="117"/>
        <v>Association Loi 1901 non Reconnue d'Utilité Publique</v>
      </c>
      <c r="Q726" t="str">
        <f t="shared" si="114"/>
        <v>36</v>
      </c>
      <c r="R726" t="str">
        <f t="shared" si="115"/>
        <v>Tarifs conventionnels assurance maladie</v>
      </c>
      <c r="U726" t="str">
        <f>"330062035"</f>
        <v>330062035</v>
      </c>
    </row>
    <row r="727" spans="1:21" x14ac:dyDescent="0.3">
      <c r="A727" t="str">
        <f>"310033139"</f>
        <v>310033139</v>
      </c>
      <c r="B727" t="str">
        <f>"889 735 783 00017"</f>
        <v>889 735 783 00017</v>
      </c>
      <c r="D727" t="str">
        <f>"CENTRE OPHTALMOLOGIQUE SAINT GEORGES"</f>
        <v>CENTRE OPHTALMOLOGIQUE SAINT GEORGES</v>
      </c>
      <c r="F727" t="str">
        <f>"10 RUE DU REMPARTSAINT ETIENNE"</f>
        <v>10 RUE DU REMPARTSAINT ETIENNE</v>
      </c>
      <c r="H727" t="str">
        <f>"31000"</f>
        <v>31000</v>
      </c>
      <c r="I727" t="str">
        <f>"TOULOUSE"</f>
        <v>TOULOUSE</v>
      </c>
      <c r="J727" t="str">
        <f>"05 62 84 70 98 "</f>
        <v xml:space="preserve">05 62 84 70 98 </v>
      </c>
      <c r="L727" s="1">
        <v>44368</v>
      </c>
      <c r="M727" t="str">
        <f t="shared" si="112"/>
        <v>124</v>
      </c>
      <c r="N727" t="str">
        <f t="shared" si="113"/>
        <v>Centre de Santé</v>
      </c>
      <c r="O727" t="str">
        <f t="shared" si="116"/>
        <v>60</v>
      </c>
      <c r="P727" t="str">
        <f t="shared" si="117"/>
        <v>Association Loi 1901 non Reconnue d'Utilité Publique</v>
      </c>
      <c r="Q727" t="str">
        <f t="shared" si="114"/>
        <v>36</v>
      </c>
      <c r="R727" t="str">
        <f t="shared" si="115"/>
        <v>Tarifs conventionnels assurance maladie</v>
      </c>
      <c r="U727" t="str">
        <f>"310033121"</f>
        <v>310033121</v>
      </c>
    </row>
    <row r="728" spans="1:21" x14ac:dyDescent="0.3">
      <c r="A728" t="str">
        <f>"440057339"</f>
        <v>440057339</v>
      </c>
      <c r="B728" t="str">
        <f>"884 838 236 00013"</f>
        <v>884 838 236 00013</v>
      </c>
      <c r="D728" t="str">
        <f>"CENTRE DE SANTE DENTAIRE VERTUO"</f>
        <v>CENTRE DE SANTE DENTAIRE VERTUO</v>
      </c>
      <c r="E728" t="str">
        <f>"C CIAL CARREFOUR BEAUJOIRE"</f>
        <v>C CIAL CARREFOUR BEAUJOIRE</v>
      </c>
      <c r="F728" t="str">
        <f>"BOULEVARD DE LA BEAUJOIRE"</f>
        <v>BOULEVARD DE LA BEAUJOIRE</v>
      </c>
      <c r="H728" t="str">
        <f>"44000"</f>
        <v>44000</v>
      </c>
      <c r="I728" t="str">
        <f>"NANTES"</f>
        <v>NANTES</v>
      </c>
      <c r="J728" t="str">
        <f>"06 79 84 20 31 "</f>
        <v xml:space="preserve">06 79 84 20 31 </v>
      </c>
      <c r="L728" s="1">
        <v>44368</v>
      </c>
      <c r="M728" t="str">
        <f t="shared" si="112"/>
        <v>124</v>
      </c>
      <c r="N728" t="str">
        <f t="shared" si="113"/>
        <v>Centre de Santé</v>
      </c>
      <c r="O728" t="str">
        <f t="shared" si="116"/>
        <v>60</v>
      </c>
      <c r="P728" t="str">
        <f t="shared" si="117"/>
        <v>Association Loi 1901 non Reconnue d'Utilité Publique</v>
      </c>
      <c r="Q728" t="str">
        <f t="shared" si="114"/>
        <v>36</v>
      </c>
      <c r="R728" t="str">
        <f t="shared" si="115"/>
        <v>Tarifs conventionnels assurance maladie</v>
      </c>
      <c r="U728" t="str">
        <f>"440057321"</f>
        <v>440057321</v>
      </c>
    </row>
    <row r="729" spans="1:21" x14ac:dyDescent="0.3">
      <c r="A729" t="str">
        <f>"920037223"</f>
        <v>920037223</v>
      </c>
      <c r="B729" t="str">
        <f>"892 151 192 00010"</f>
        <v>892 151 192 00010</v>
      </c>
      <c r="D729" t="str">
        <f>"CDS MEDICO DENTAIRE DENTEXGOOD"</f>
        <v>CDS MEDICO DENTAIRE DENTEXGOOD</v>
      </c>
      <c r="F729" t="str">
        <f>"239 AVENUE D ARGENTEUIL"</f>
        <v>239 AVENUE D ARGENTEUIL</v>
      </c>
      <c r="H729" t="str">
        <f>"92270"</f>
        <v>92270</v>
      </c>
      <c r="I729" t="str">
        <f>"BOIS COLOMBES"</f>
        <v>BOIS COLOMBES</v>
      </c>
      <c r="J729" t="str">
        <f>"06 64 39 75 09 "</f>
        <v xml:space="preserve">06 64 39 75 09 </v>
      </c>
      <c r="L729" s="1">
        <v>44368</v>
      </c>
      <c r="M729" t="str">
        <f t="shared" si="112"/>
        <v>124</v>
      </c>
      <c r="N729" t="str">
        <f t="shared" si="113"/>
        <v>Centre de Santé</v>
      </c>
      <c r="O729" t="str">
        <f t="shared" si="116"/>
        <v>60</v>
      </c>
      <c r="P729" t="str">
        <f t="shared" si="117"/>
        <v>Association Loi 1901 non Reconnue d'Utilité Publique</v>
      </c>
      <c r="Q729" t="str">
        <f t="shared" si="114"/>
        <v>36</v>
      </c>
      <c r="R729" t="str">
        <f t="shared" si="115"/>
        <v>Tarifs conventionnels assurance maladie</v>
      </c>
      <c r="U729" t="str">
        <f>"920037215"</f>
        <v>920037215</v>
      </c>
    </row>
    <row r="730" spans="1:21" x14ac:dyDescent="0.3">
      <c r="A730" t="str">
        <f>"930030358"</f>
        <v>930030358</v>
      </c>
      <c r="B730" t="str">
        <f>"879 920 502 00017"</f>
        <v>879 920 502 00017</v>
      </c>
      <c r="D730" t="str">
        <f>"CDS MEDICAL OPHTALMO ET DENTAIRE ABMT"</f>
        <v>CDS MEDICAL OPHTALMO ET DENTAIRE ABMT</v>
      </c>
      <c r="F730" t="str">
        <f>"16 AVENUE HENRI BARBUSSE"</f>
        <v>16 AVENUE HENRI BARBUSSE</v>
      </c>
      <c r="H730" t="str">
        <f>"93150"</f>
        <v>93150</v>
      </c>
      <c r="I730" t="str">
        <f>"LE BLANC MESNIL"</f>
        <v>LE BLANC MESNIL</v>
      </c>
      <c r="J730" t="str">
        <f>"07 67 09 86 30 "</f>
        <v xml:space="preserve">07 67 09 86 30 </v>
      </c>
      <c r="L730" s="1">
        <v>44368</v>
      </c>
      <c r="M730" t="str">
        <f t="shared" si="112"/>
        <v>124</v>
      </c>
      <c r="N730" t="str">
        <f t="shared" si="113"/>
        <v>Centre de Santé</v>
      </c>
      <c r="O730" t="str">
        <f t="shared" si="116"/>
        <v>60</v>
      </c>
      <c r="P730" t="str">
        <f t="shared" si="117"/>
        <v>Association Loi 1901 non Reconnue d'Utilité Publique</v>
      </c>
      <c r="Q730" t="str">
        <f t="shared" si="114"/>
        <v>36</v>
      </c>
      <c r="R730" t="str">
        <f t="shared" si="115"/>
        <v>Tarifs conventionnels assurance maladie</v>
      </c>
      <c r="U730" t="str">
        <f>"930029582"</f>
        <v>930029582</v>
      </c>
    </row>
    <row r="731" spans="1:21" x14ac:dyDescent="0.3">
      <c r="A731" t="str">
        <f>"950045849"</f>
        <v>950045849</v>
      </c>
      <c r="B731" t="str">
        <f>"897 533 808 00019"</f>
        <v>897 533 808 00019</v>
      </c>
      <c r="D731" t="str">
        <f>"CDS MEDICAL ET DENTAIRE ARGENTEUIL"</f>
        <v>CDS MEDICAL ET DENTAIRE ARGENTEUIL</v>
      </c>
      <c r="F731" t="str">
        <f>"108 RUE PAUL VAILLANT COUTURIER"</f>
        <v>108 RUE PAUL VAILLANT COUTURIER</v>
      </c>
      <c r="H731" t="str">
        <f>"95100"</f>
        <v>95100</v>
      </c>
      <c r="I731" t="str">
        <f>"ARGENTEUIL"</f>
        <v>ARGENTEUIL</v>
      </c>
      <c r="J731" t="str">
        <f>"06 51 91 95 06 "</f>
        <v xml:space="preserve">06 51 91 95 06 </v>
      </c>
      <c r="L731" s="1">
        <v>44368</v>
      </c>
      <c r="M731" t="str">
        <f t="shared" si="112"/>
        <v>124</v>
      </c>
      <c r="N731" t="str">
        <f t="shared" si="113"/>
        <v>Centre de Santé</v>
      </c>
      <c r="O731" t="str">
        <f t="shared" si="116"/>
        <v>60</v>
      </c>
      <c r="P731" t="str">
        <f t="shared" si="117"/>
        <v>Association Loi 1901 non Reconnue d'Utilité Publique</v>
      </c>
      <c r="Q731" t="str">
        <f t="shared" si="114"/>
        <v>36</v>
      </c>
      <c r="R731" t="str">
        <f t="shared" si="115"/>
        <v>Tarifs conventionnels assurance maladie</v>
      </c>
      <c r="U731" t="str">
        <f>"950045831"</f>
        <v>950045831</v>
      </c>
    </row>
    <row r="732" spans="1:21" x14ac:dyDescent="0.3">
      <c r="A732" t="str">
        <f>"310032636"</f>
        <v>310032636</v>
      </c>
      <c r="B732" t="str">
        <f>"878 952 902 00012"</f>
        <v>878 952 902 00012</v>
      </c>
      <c r="D732" t="str">
        <f>"CENTRE DE SANTE HYGIE"</f>
        <v>CENTRE DE SANTE HYGIE</v>
      </c>
      <c r="F732" t="str">
        <f>"21 ALLEE JULES GUESDES"</f>
        <v>21 ALLEE JULES GUESDES</v>
      </c>
      <c r="H732" t="str">
        <f>"31400"</f>
        <v>31400</v>
      </c>
      <c r="I732" t="str">
        <f>"TOULOUSE"</f>
        <v>TOULOUSE</v>
      </c>
      <c r="L732" s="1">
        <v>44364</v>
      </c>
      <c r="M732" t="str">
        <f t="shared" si="112"/>
        <v>124</v>
      </c>
      <c r="N732" t="str">
        <f t="shared" si="113"/>
        <v>Centre de Santé</v>
      </c>
      <c r="O732" t="str">
        <f t="shared" si="116"/>
        <v>60</v>
      </c>
      <c r="P732" t="str">
        <f t="shared" si="117"/>
        <v>Association Loi 1901 non Reconnue d'Utilité Publique</v>
      </c>
      <c r="Q732" t="str">
        <f t="shared" si="114"/>
        <v>36</v>
      </c>
      <c r="R732" t="str">
        <f t="shared" si="115"/>
        <v>Tarifs conventionnels assurance maladie</v>
      </c>
      <c r="U732" t="str">
        <f>"930029285"</f>
        <v>930029285</v>
      </c>
    </row>
    <row r="733" spans="1:21" x14ac:dyDescent="0.3">
      <c r="A733" t="str">
        <f>"380025601"</f>
        <v>380025601</v>
      </c>
      <c r="B733" t="str">
        <f>"900 212 366 00018"</f>
        <v>900 212 366 00018</v>
      </c>
      <c r="D733" t="str">
        <f>"CENTRE DE SANTE DENTAIRE FOCH GRENOBLE"</f>
        <v>CENTRE DE SANTE DENTAIRE FOCH GRENOBLE</v>
      </c>
      <c r="F733" t="str">
        <f>"27 BOULEVARD MARECHAL FOCH"</f>
        <v>27 BOULEVARD MARECHAL FOCH</v>
      </c>
      <c r="H733" t="str">
        <f>"38000"</f>
        <v>38000</v>
      </c>
      <c r="I733" t="str">
        <f>"GRENOBLE"</f>
        <v>GRENOBLE</v>
      </c>
      <c r="L733" s="1">
        <v>44364</v>
      </c>
      <c r="M733" t="str">
        <f t="shared" si="112"/>
        <v>124</v>
      </c>
      <c r="N733" t="str">
        <f t="shared" si="113"/>
        <v>Centre de Santé</v>
      </c>
      <c r="O733" t="str">
        <f t="shared" si="116"/>
        <v>60</v>
      </c>
      <c r="P733" t="str">
        <f t="shared" si="117"/>
        <v>Association Loi 1901 non Reconnue d'Utilité Publique</v>
      </c>
      <c r="Q733" t="str">
        <f t="shared" si="114"/>
        <v>36</v>
      </c>
      <c r="R733" t="str">
        <f t="shared" si="115"/>
        <v>Tarifs conventionnels assurance maladie</v>
      </c>
      <c r="U733" t="str">
        <f>"380025593"</f>
        <v>380025593</v>
      </c>
    </row>
    <row r="734" spans="1:21" x14ac:dyDescent="0.3">
      <c r="A734" t="str">
        <f>"490022100"</f>
        <v>490022100</v>
      </c>
      <c r="B734" t="str">
        <f>"892 120 924 00022"</f>
        <v>892 120 924 00022</v>
      </c>
      <c r="D734" t="str">
        <f>"CENTRE DENTEVIE ANGERS"</f>
        <v>CENTRE DENTEVIE ANGERS</v>
      </c>
      <c r="F734" t="str">
        <f>"40 RUE POQUET DE LIVONNIERES"</f>
        <v>40 RUE POQUET DE LIVONNIERES</v>
      </c>
      <c r="H734" t="str">
        <f>"49100"</f>
        <v>49100</v>
      </c>
      <c r="I734" t="str">
        <f>"ANGERS"</f>
        <v>ANGERS</v>
      </c>
      <c r="L734" s="1">
        <v>44364</v>
      </c>
      <c r="M734" t="str">
        <f t="shared" si="112"/>
        <v>124</v>
      </c>
      <c r="N734" t="str">
        <f t="shared" si="113"/>
        <v>Centre de Santé</v>
      </c>
      <c r="O734" t="str">
        <f t="shared" si="116"/>
        <v>60</v>
      </c>
      <c r="P734" t="str">
        <f t="shared" si="117"/>
        <v>Association Loi 1901 non Reconnue d'Utilité Publique</v>
      </c>
      <c r="Q734" t="str">
        <f t="shared" si="114"/>
        <v>36</v>
      </c>
      <c r="R734" t="str">
        <f t="shared" si="115"/>
        <v>Tarifs conventionnels assurance maladie</v>
      </c>
      <c r="U734" t="str">
        <f>"490022225"</f>
        <v>490022225</v>
      </c>
    </row>
    <row r="735" spans="1:21" x14ac:dyDescent="0.3">
      <c r="A735" t="str">
        <f>"350055125"</f>
        <v>350055125</v>
      </c>
      <c r="D735" t="str">
        <f>"CENTRE DE SANTE ST HELIER"</f>
        <v>CENTRE DE SANTE ST HELIER</v>
      </c>
      <c r="F735" t="str">
        <f>"54 RUE SAINT-HELIER"</f>
        <v>54 RUE SAINT-HELIER</v>
      </c>
      <c r="G735" t="str">
        <f>"CS 74330"</f>
        <v>CS 74330</v>
      </c>
      <c r="H735" t="str">
        <f>"35043"</f>
        <v>35043</v>
      </c>
      <c r="I735" t="str">
        <f>"RENNES CEDEX"</f>
        <v>RENNES CEDEX</v>
      </c>
      <c r="J735" t="str">
        <f>"02 99 29 83 05 "</f>
        <v xml:space="preserve">02 99 29 83 05 </v>
      </c>
      <c r="L735" s="1">
        <v>44362</v>
      </c>
      <c r="M735" t="str">
        <f t="shared" si="112"/>
        <v>124</v>
      </c>
      <c r="N735" t="str">
        <f t="shared" si="113"/>
        <v>Centre de Santé</v>
      </c>
      <c r="O735" t="str">
        <f>"61"</f>
        <v>61</v>
      </c>
      <c r="P735" t="str">
        <f>"Association Loi 1901 Reconnue d'Utilité Publique"</f>
        <v>Association Loi 1901 Reconnue d'Utilité Publique</v>
      </c>
      <c r="Q735" t="str">
        <f t="shared" si="114"/>
        <v>36</v>
      </c>
      <c r="R735" t="str">
        <f t="shared" si="115"/>
        <v>Tarifs conventionnels assurance maladie</v>
      </c>
      <c r="U735" t="str">
        <f>"350046199"</f>
        <v>350046199</v>
      </c>
    </row>
    <row r="736" spans="1:21" x14ac:dyDescent="0.3">
      <c r="A736" t="str">
        <f>"590065769"</f>
        <v>590065769</v>
      </c>
      <c r="B736" t="str">
        <f>"893 896 787 00015"</f>
        <v>893 896 787 00015</v>
      </c>
      <c r="D736" t="str">
        <f>"CENTRE DE SANTE DENTAIRE VILLENEUVE AS"</f>
        <v>CENTRE DE SANTE DENTAIRE VILLENEUVE AS</v>
      </c>
      <c r="F736" t="str">
        <f>"35 BOULEVARD DE VALMY"</f>
        <v>35 BOULEVARD DE VALMY</v>
      </c>
      <c r="H736" t="str">
        <f>"59651"</f>
        <v>59651</v>
      </c>
      <c r="I736" t="str">
        <f>"VILLENEUVE D ASCQ CEDEX"</f>
        <v>VILLENEUVE D ASCQ CEDEX</v>
      </c>
      <c r="L736" s="1">
        <v>44362</v>
      </c>
      <c r="M736" t="str">
        <f t="shared" si="112"/>
        <v>124</v>
      </c>
      <c r="N736" t="str">
        <f t="shared" si="113"/>
        <v>Centre de Santé</v>
      </c>
      <c r="O736" t="str">
        <f>"80"</f>
        <v>80</v>
      </c>
      <c r="P736" t="str">
        <f>"Société Interprofessionnelle Soins Ambulatoires (S.I.S.A.)"</f>
        <v>Société Interprofessionnelle Soins Ambulatoires (S.I.S.A.)</v>
      </c>
      <c r="Q736" t="str">
        <f t="shared" si="114"/>
        <v>36</v>
      </c>
      <c r="R736" t="str">
        <f t="shared" si="115"/>
        <v>Tarifs conventionnels assurance maladie</v>
      </c>
      <c r="U736" t="str">
        <f>"590065751"</f>
        <v>590065751</v>
      </c>
    </row>
    <row r="737" spans="1:21" x14ac:dyDescent="0.3">
      <c r="A737" t="str">
        <f>"930030754"</f>
        <v>930030754</v>
      </c>
      <c r="B737" t="str">
        <f>"893 360 297 00012"</f>
        <v>893 360 297 00012</v>
      </c>
      <c r="D737" t="str">
        <f>"CDS CLOS MEDICAL"</f>
        <v>CDS CLOS MEDICAL</v>
      </c>
      <c r="F737" t="str">
        <f>"38 RUE GEORGES SAND"</f>
        <v>38 RUE GEORGES SAND</v>
      </c>
      <c r="H737" t="str">
        <f>"93240"</f>
        <v>93240</v>
      </c>
      <c r="I737" t="str">
        <f>"STAINS"</f>
        <v>STAINS</v>
      </c>
      <c r="J737" t="str">
        <f>"09 73 53 08 49 "</f>
        <v xml:space="preserve">09 73 53 08 49 </v>
      </c>
      <c r="L737" s="1">
        <v>44362</v>
      </c>
      <c r="M737" t="str">
        <f t="shared" si="112"/>
        <v>124</v>
      </c>
      <c r="N737" t="str">
        <f t="shared" si="113"/>
        <v>Centre de Santé</v>
      </c>
      <c r="O737" t="str">
        <f>"60"</f>
        <v>60</v>
      </c>
      <c r="P737" t="str">
        <f>"Association Loi 1901 non Reconnue d'Utilité Publique"</f>
        <v>Association Loi 1901 non Reconnue d'Utilité Publique</v>
      </c>
      <c r="Q737" t="str">
        <f t="shared" si="114"/>
        <v>36</v>
      </c>
      <c r="R737" t="str">
        <f t="shared" si="115"/>
        <v>Tarifs conventionnels assurance maladie</v>
      </c>
      <c r="U737" t="str">
        <f>"930030747"</f>
        <v>930030747</v>
      </c>
    </row>
    <row r="738" spans="1:21" x14ac:dyDescent="0.3">
      <c r="A738" t="str">
        <f>"060029832"</f>
        <v>060029832</v>
      </c>
      <c r="B738" t="str">
        <f>"843 617 713 00014"</f>
        <v>843 617 713 00014</v>
      </c>
      <c r="D738" t="str">
        <f>"CDS NICE TRACHEL"</f>
        <v>CDS NICE TRACHEL</v>
      </c>
      <c r="F738" t="str">
        <f>"7 RUE TRACHEL"</f>
        <v>7 RUE TRACHEL</v>
      </c>
      <c r="H738" t="str">
        <f>"06000"</f>
        <v>06000</v>
      </c>
      <c r="I738" t="str">
        <f>"NICE"</f>
        <v>NICE</v>
      </c>
      <c r="J738" t="str">
        <f>"04 22 70 00 25 "</f>
        <v xml:space="preserve">04 22 70 00 25 </v>
      </c>
      <c r="L738" s="1">
        <v>44361</v>
      </c>
      <c r="M738" t="str">
        <f t="shared" si="112"/>
        <v>124</v>
      </c>
      <c r="N738" t="str">
        <f t="shared" si="113"/>
        <v>Centre de Santé</v>
      </c>
      <c r="O738" t="str">
        <f>"60"</f>
        <v>60</v>
      </c>
      <c r="P738" t="str">
        <f>"Association Loi 1901 non Reconnue d'Utilité Publique"</f>
        <v>Association Loi 1901 non Reconnue d'Utilité Publique</v>
      </c>
      <c r="Q738" t="str">
        <f>"99"</f>
        <v>99</v>
      </c>
      <c r="R738" t="str">
        <f>"Indéterminé"</f>
        <v>Indéterminé</v>
      </c>
      <c r="U738" t="str">
        <f>"060029824"</f>
        <v>060029824</v>
      </c>
    </row>
    <row r="739" spans="1:21" x14ac:dyDescent="0.3">
      <c r="A739" t="str">
        <f>"770023802"</f>
        <v>770023802</v>
      </c>
      <c r="B739" t="str">
        <f>"890 709 074 00011"</f>
        <v>890 709 074 00011</v>
      </c>
      <c r="D739" t="str">
        <f>"CDS DENTAIRE VERTUO CHAMPS"</f>
        <v>CDS DENTAIRE VERTUO CHAMPS</v>
      </c>
      <c r="F739" t="str">
        <f>"AVENUE DES PYRAMIDES"</f>
        <v>AVENUE DES PYRAMIDES</v>
      </c>
      <c r="G739" t="str">
        <f>"CCIAL CARREFOUR"</f>
        <v>CCIAL CARREFOUR</v>
      </c>
      <c r="H739" t="str">
        <f>"77420"</f>
        <v>77420</v>
      </c>
      <c r="I739" t="str">
        <f>"CHAMPS SUR MARNE"</f>
        <v>CHAMPS SUR MARNE</v>
      </c>
      <c r="J739" t="str">
        <f>"06 79 84 20 31 "</f>
        <v xml:space="preserve">06 79 84 20 31 </v>
      </c>
      <c r="L739" s="1">
        <v>44361</v>
      </c>
      <c r="M739" t="str">
        <f t="shared" si="112"/>
        <v>124</v>
      </c>
      <c r="N739" t="str">
        <f t="shared" si="113"/>
        <v>Centre de Santé</v>
      </c>
      <c r="O739" t="str">
        <f>"60"</f>
        <v>60</v>
      </c>
      <c r="P739" t="str">
        <f>"Association Loi 1901 non Reconnue d'Utilité Publique"</f>
        <v>Association Loi 1901 non Reconnue d'Utilité Publique</v>
      </c>
      <c r="Q739" t="str">
        <f t="shared" ref="Q739:Q770" si="118">"36"</f>
        <v>36</v>
      </c>
      <c r="R739" t="str">
        <f t="shared" ref="R739:R770" si="119">"Tarifs conventionnels assurance maladie"</f>
        <v>Tarifs conventionnels assurance maladie</v>
      </c>
      <c r="U739" t="str">
        <f>"770023794"</f>
        <v>770023794</v>
      </c>
    </row>
    <row r="740" spans="1:21" x14ac:dyDescent="0.3">
      <c r="A740" t="str">
        <f>"950045864"</f>
        <v>950045864</v>
      </c>
      <c r="B740" t="str">
        <f>"892 205 907 00025"</f>
        <v>892 205 907 00025</v>
      </c>
      <c r="D740" t="str">
        <f>"CDS DENTAIRE DE L ISLE ADAM"</f>
        <v>CDS DENTAIRE DE L ISLE ADAM</v>
      </c>
      <c r="F740" t="str">
        <f>"6 GRANDE RUE"</f>
        <v>6 GRANDE RUE</v>
      </c>
      <c r="H740" t="str">
        <f>"95290"</f>
        <v>95290</v>
      </c>
      <c r="I740" t="str">
        <f>"L ISLE ADAM"</f>
        <v>L ISLE ADAM</v>
      </c>
      <c r="J740" t="str">
        <f>"06 10 10 37 87 "</f>
        <v xml:space="preserve">06 10 10 37 87 </v>
      </c>
      <c r="L740" s="1">
        <v>44361</v>
      </c>
      <c r="M740" t="str">
        <f t="shared" si="112"/>
        <v>124</v>
      </c>
      <c r="N740" t="str">
        <f t="shared" si="113"/>
        <v>Centre de Santé</v>
      </c>
      <c r="O740" t="str">
        <f>"60"</f>
        <v>60</v>
      </c>
      <c r="P740" t="str">
        <f>"Association Loi 1901 non Reconnue d'Utilité Publique"</f>
        <v>Association Loi 1901 non Reconnue d'Utilité Publique</v>
      </c>
      <c r="Q740" t="str">
        <f t="shared" si="118"/>
        <v>36</v>
      </c>
      <c r="R740" t="str">
        <f t="shared" si="119"/>
        <v>Tarifs conventionnels assurance maladie</v>
      </c>
      <c r="U740" t="str">
        <f>"750067944"</f>
        <v>750067944</v>
      </c>
    </row>
    <row r="741" spans="1:21" x14ac:dyDescent="0.3">
      <c r="A741" t="str">
        <f>"630015410"</f>
        <v>630015410</v>
      </c>
      <c r="D741" t="str">
        <f>"CENTRE DE SANTE DE ST GERMAIN L'HERM"</f>
        <v>CENTRE DE SANTE DE ST GERMAIN L'HERM</v>
      </c>
      <c r="F741" t="str">
        <f>"ROUTE D'ISSOIRE"</f>
        <v>ROUTE D'ISSOIRE</v>
      </c>
      <c r="H741" t="str">
        <f>"63630"</f>
        <v>63630</v>
      </c>
      <c r="I741" t="str">
        <f>"ST GERMAIN L HERM"</f>
        <v>ST GERMAIN L HERM</v>
      </c>
      <c r="L741" s="1">
        <v>44358</v>
      </c>
      <c r="M741" t="str">
        <f t="shared" si="112"/>
        <v>124</v>
      </c>
      <c r="N741" t="str">
        <f t="shared" si="113"/>
        <v>Centre de Santé</v>
      </c>
      <c r="O741" t="str">
        <f>"02"</f>
        <v>02</v>
      </c>
      <c r="P741" t="str">
        <f>"Département"</f>
        <v>Département</v>
      </c>
      <c r="Q741" t="str">
        <f t="shared" si="118"/>
        <v>36</v>
      </c>
      <c r="R741" t="str">
        <f t="shared" si="119"/>
        <v>Tarifs conventionnels assurance maladie</v>
      </c>
      <c r="U741" t="str">
        <f>"630788040"</f>
        <v>630788040</v>
      </c>
    </row>
    <row r="742" spans="1:21" x14ac:dyDescent="0.3">
      <c r="A742" t="str">
        <f>"830025771"</f>
        <v>830025771</v>
      </c>
      <c r="B742" t="str">
        <f>"891 783 821 00012"</f>
        <v>891 783 821 00012</v>
      </c>
      <c r="D742" t="str">
        <f>"CDS POLYVALENT ACCES VISION FREJUS"</f>
        <v>CDS POLYVALENT ACCES VISION FREJUS</v>
      </c>
      <c r="F742" t="str">
        <f>"194 RUE DE LA REPUBLIQUE"</f>
        <v>194 RUE DE LA REPUBLIQUE</v>
      </c>
      <c r="H742" t="str">
        <f>"83600"</f>
        <v>83600</v>
      </c>
      <c r="I742" t="str">
        <f>"FREJUS"</f>
        <v>FREJUS</v>
      </c>
      <c r="J742" t="str">
        <f>"04 84 89 49 19 "</f>
        <v xml:space="preserve">04 84 89 49 19 </v>
      </c>
      <c r="L742" s="1">
        <v>44355</v>
      </c>
      <c r="M742" t="str">
        <f t="shared" si="112"/>
        <v>124</v>
      </c>
      <c r="N742" t="str">
        <f t="shared" si="113"/>
        <v>Centre de Santé</v>
      </c>
      <c r="O742" t="str">
        <f t="shared" ref="O742:O749" si="120">"60"</f>
        <v>60</v>
      </c>
      <c r="P742" t="str">
        <f t="shared" ref="P742:P749" si="121">"Association Loi 1901 non Reconnue d'Utilité Publique"</f>
        <v>Association Loi 1901 non Reconnue d'Utilité Publique</v>
      </c>
      <c r="Q742" t="str">
        <f t="shared" si="118"/>
        <v>36</v>
      </c>
      <c r="R742" t="str">
        <f t="shared" si="119"/>
        <v>Tarifs conventionnels assurance maladie</v>
      </c>
      <c r="U742" t="str">
        <f>"940027311"</f>
        <v>940027311</v>
      </c>
    </row>
    <row r="743" spans="1:21" x14ac:dyDescent="0.3">
      <c r="A743" t="str">
        <f>"440059467"</f>
        <v>440059467</v>
      </c>
      <c r="B743" t="str">
        <f>"894 876 994 00019"</f>
        <v>894 876 994 00019</v>
      </c>
      <c r="D743" t="str">
        <f>"CENTRE DE SANTE DENTAIRE SAINT NAZAIRE"</f>
        <v>CENTRE DE SANTE DENTAIRE SAINT NAZAIRE</v>
      </c>
      <c r="F743" t="str">
        <f>"71 RUE DE LA REPUBLIQUE"</f>
        <v>71 RUE DE LA REPUBLIQUE</v>
      </c>
      <c r="H743" t="str">
        <f>"44600"</f>
        <v>44600</v>
      </c>
      <c r="I743" t="str">
        <f>"ST NAZAIRE"</f>
        <v>ST NAZAIRE</v>
      </c>
      <c r="L743" s="1">
        <v>44354</v>
      </c>
      <c r="M743" t="str">
        <f t="shared" si="112"/>
        <v>124</v>
      </c>
      <c r="N743" t="str">
        <f t="shared" si="113"/>
        <v>Centre de Santé</v>
      </c>
      <c r="O743" t="str">
        <f t="shared" si="120"/>
        <v>60</v>
      </c>
      <c r="P743" t="str">
        <f t="shared" si="121"/>
        <v>Association Loi 1901 non Reconnue d'Utilité Publique</v>
      </c>
      <c r="Q743" t="str">
        <f t="shared" si="118"/>
        <v>36</v>
      </c>
      <c r="R743" t="str">
        <f t="shared" si="119"/>
        <v>Tarifs conventionnels assurance maladie</v>
      </c>
      <c r="U743" t="str">
        <f>"440059459"</f>
        <v>440059459</v>
      </c>
    </row>
    <row r="744" spans="1:21" x14ac:dyDescent="0.3">
      <c r="A744" t="str">
        <f>"750067829"</f>
        <v>750067829</v>
      </c>
      <c r="B744" t="str">
        <f>"893 714 824 00024"</f>
        <v>893 714 824 00024</v>
      </c>
      <c r="D744" t="str">
        <f>"CDS DENTAIRE GRENELLE"</f>
        <v>CDS DENTAIRE GRENELLE</v>
      </c>
      <c r="F744" t="str">
        <f>"42 BOULEVARD DE GRENELLE"</f>
        <v>42 BOULEVARD DE GRENELLE</v>
      </c>
      <c r="H744" t="str">
        <f>"75015"</f>
        <v>75015</v>
      </c>
      <c r="I744" t="str">
        <f>"PARIS"</f>
        <v>PARIS</v>
      </c>
      <c r="J744" t="str">
        <f>"01 83 75 23 85 "</f>
        <v xml:space="preserve">01 83 75 23 85 </v>
      </c>
      <c r="L744" s="1">
        <v>44354</v>
      </c>
      <c r="M744" t="str">
        <f t="shared" si="112"/>
        <v>124</v>
      </c>
      <c r="N744" t="str">
        <f t="shared" si="113"/>
        <v>Centre de Santé</v>
      </c>
      <c r="O744" t="str">
        <f t="shared" si="120"/>
        <v>60</v>
      </c>
      <c r="P744" t="str">
        <f t="shared" si="121"/>
        <v>Association Loi 1901 non Reconnue d'Utilité Publique</v>
      </c>
      <c r="Q744" t="str">
        <f t="shared" si="118"/>
        <v>36</v>
      </c>
      <c r="R744" t="str">
        <f t="shared" si="119"/>
        <v>Tarifs conventionnels assurance maladie</v>
      </c>
      <c r="U744" t="str">
        <f>"750067811"</f>
        <v>750067811</v>
      </c>
    </row>
    <row r="745" spans="1:21" x14ac:dyDescent="0.3">
      <c r="A745" t="str">
        <f>"750067886"</f>
        <v>750067886</v>
      </c>
      <c r="B745" t="str">
        <f>"894 878 180 00013"</f>
        <v>894 878 180 00013</v>
      </c>
      <c r="D745" t="str">
        <f>"CDS DE LA PLACE DE LA REPUBLIQUE"</f>
        <v>CDS DE LA PLACE DE LA REPUBLIQUE</v>
      </c>
      <c r="F745" t="str">
        <f>"3 BOULEVARD SAINT MARTIN"</f>
        <v>3 BOULEVARD SAINT MARTIN</v>
      </c>
      <c r="H745" t="str">
        <f>"75003"</f>
        <v>75003</v>
      </c>
      <c r="I745" t="str">
        <f>"PARIS"</f>
        <v>PARIS</v>
      </c>
      <c r="J745" t="str">
        <f>"01 83 75 23 65 "</f>
        <v xml:space="preserve">01 83 75 23 65 </v>
      </c>
      <c r="L745" s="1">
        <v>44354</v>
      </c>
      <c r="M745" t="str">
        <f t="shared" si="112"/>
        <v>124</v>
      </c>
      <c r="N745" t="str">
        <f t="shared" si="113"/>
        <v>Centre de Santé</v>
      </c>
      <c r="O745" t="str">
        <f t="shared" si="120"/>
        <v>60</v>
      </c>
      <c r="P745" t="str">
        <f t="shared" si="121"/>
        <v>Association Loi 1901 non Reconnue d'Utilité Publique</v>
      </c>
      <c r="Q745" t="str">
        <f t="shared" si="118"/>
        <v>36</v>
      </c>
      <c r="R745" t="str">
        <f t="shared" si="119"/>
        <v>Tarifs conventionnels assurance maladie</v>
      </c>
      <c r="U745" t="str">
        <f>"750067878"</f>
        <v>750067878</v>
      </c>
    </row>
    <row r="746" spans="1:21" x14ac:dyDescent="0.3">
      <c r="A746" t="str">
        <f>"950045823"</f>
        <v>950045823</v>
      </c>
      <c r="B746" t="str">
        <f>"895 220 838 00026"</f>
        <v>895 220 838 00026</v>
      </c>
      <c r="D746" t="str">
        <f>"CDS DENTAIRE OPHTALMO PONT DE BEZONS"</f>
        <v>CDS DENTAIRE OPHTALMO PONT DE BEZONS</v>
      </c>
      <c r="E746" t="str">
        <f>"3-5"</f>
        <v>3-5</v>
      </c>
      <c r="F746" t="str">
        <f>"3 RUE MEISSONNIER PERE ET FILS"</f>
        <v>3 RUE MEISSONNIER PERE ET FILS</v>
      </c>
      <c r="H746" t="str">
        <f>"95870"</f>
        <v>95870</v>
      </c>
      <c r="I746" t="str">
        <f>"BEZONS"</f>
        <v>BEZONS</v>
      </c>
      <c r="J746" t="str">
        <f>"01 88 90 08 35 "</f>
        <v xml:space="preserve">01 88 90 08 35 </v>
      </c>
      <c r="L746" s="1">
        <v>44354</v>
      </c>
      <c r="M746" t="str">
        <f t="shared" si="112"/>
        <v>124</v>
      </c>
      <c r="N746" t="str">
        <f t="shared" si="113"/>
        <v>Centre de Santé</v>
      </c>
      <c r="O746" t="str">
        <f t="shared" si="120"/>
        <v>60</v>
      </c>
      <c r="P746" t="str">
        <f t="shared" si="121"/>
        <v>Association Loi 1901 non Reconnue d'Utilité Publique</v>
      </c>
      <c r="Q746" t="str">
        <f t="shared" si="118"/>
        <v>36</v>
      </c>
      <c r="R746" t="str">
        <f t="shared" si="119"/>
        <v>Tarifs conventionnels assurance maladie</v>
      </c>
      <c r="U746" t="str">
        <f>"950046045"</f>
        <v>950046045</v>
      </c>
    </row>
    <row r="747" spans="1:21" x14ac:dyDescent="0.3">
      <c r="A747" t="str">
        <f>"710016577"</f>
        <v>710016577</v>
      </c>
      <c r="B747" t="str">
        <f>"322 533 217 00038"</f>
        <v>322 533 217 00038</v>
      </c>
      <c r="D747" t="str">
        <f>"CSI ADMR DU CHALONNAIS"</f>
        <v>CSI ADMR DU CHALONNAIS</v>
      </c>
      <c r="F747" t="str">
        <f>"2 RUE ROUGEOT"</f>
        <v>2 RUE ROUGEOT</v>
      </c>
      <c r="H747" t="str">
        <f>"71100"</f>
        <v>71100</v>
      </c>
      <c r="I747" t="str">
        <f>"CHALON SUR SAONE"</f>
        <v>CHALON SUR SAONE</v>
      </c>
      <c r="J747" t="str">
        <f>"03 85 46 89 50 "</f>
        <v xml:space="preserve">03 85 46 89 50 </v>
      </c>
      <c r="L747" s="1">
        <v>44350</v>
      </c>
      <c r="M747" t="str">
        <f t="shared" si="112"/>
        <v>124</v>
      </c>
      <c r="N747" t="str">
        <f t="shared" si="113"/>
        <v>Centre de Santé</v>
      </c>
      <c r="O747" t="str">
        <f t="shared" si="120"/>
        <v>60</v>
      </c>
      <c r="P747" t="str">
        <f t="shared" si="121"/>
        <v>Association Loi 1901 non Reconnue d'Utilité Publique</v>
      </c>
      <c r="Q747" t="str">
        <f t="shared" si="118"/>
        <v>36</v>
      </c>
      <c r="R747" t="str">
        <f t="shared" si="119"/>
        <v>Tarifs conventionnels assurance maladie</v>
      </c>
      <c r="U747" t="str">
        <f>"710016569"</f>
        <v>710016569</v>
      </c>
    </row>
    <row r="748" spans="1:21" x14ac:dyDescent="0.3">
      <c r="A748" t="str">
        <f>"590065926"</f>
        <v>590065926</v>
      </c>
      <c r="D748" t="str">
        <f>"CENTRE DE SANTE MEDICAL LE MARAIS"</f>
        <v>CENTRE DE SANTE MEDICAL LE MARAIS</v>
      </c>
      <c r="F748" t="str">
        <f>"19 RUE DES ECOLES"</f>
        <v>19 RUE DES ECOLES</v>
      </c>
      <c r="H748" t="str">
        <f>"59100"</f>
        <v>59100</v>
      </c>
      <c r="I748" t="str">
        <f>"ROUBAIX"</f>
        <v>ROUBAIX</v>
      </c>
      <c r="L748" s="1">
        <v>44349</v>
      </c>
      <c r="M748" t="str">
        <f t="shared" si="112"/>
        <v>124</v>
      </c>
      <c r="N748" t="str">
        <f t="shared" si="113"/>
        <v>Centre de Santé</v>
      </c>
      <c r="O748" t="str">
        <f t="shared" si="120"/>
        <v>60</v>
      </c>
      <c r="P748" t="str">
        <f t="shared" si="121"/>
        <v>Association Loi 1901 non Reconnue d'Utilité Publique</v>
      </c>
      <c r="Q748" t="str">
        <f t="shared" si="118"/>
        <v>36</v>
      </c>
      <c r="R748" t="str">
        <f t="shared" si="119"/>
        <v>Tarifs conventionnels assurance maladie</v>
      </c>
      <c r="U748" t="str">
        <f>"590065918"</f>
        <v>590065918</v>
      </c>
    </row>
    <row r="749" spans="1:21" x14ac:dyDescent="0.3">
      <c r="A749" t="str">
        <f>"350055117"</f>
        <v>350055117</v>
      </c>
      <c r="B749" t="str">
        <f>"889 564 274 00013"</f>
        <v>889 564 274 00013</v>
      </c>
      <c r="D749" t="str">
        <f>"CENTRE SANTE ALLIANCE VISION"</f>
        <v>CENTRE SANTE ALLIANCE VISION</v>
      </c>
      <c r="F749" t="str">
        <f>"44 RUE DU PRE BOTTE"</f>
        <v>44 RUE DU PRE BOTTE</v>
      </c>
      <c r="H749" t="str">
        <f>"35000"</f>
        <v>35000</v>
      </c>
      <c r="I749" t="str">
        <f>"RENNES"</f>
        <v>RENNES</v>
      </c>
      <c r="J749" t="str">
        <f>"06 13 81 27 87 "</f>
        <v xml:space="preserve">06 13 81 27 87 </v>
      </c>
      <c r="L749" s="1">
        <v>44348</v>
      </c>
      <c r="M749" t="str">
        <f t="shared" si="112"/>
        <v>124</v>
      </c>
      <c r="N749" t="str">
        <f t="shared" si="113"/>
        <v>Centre de Santé</v>
      </c>
      <c r="O749" t="str">
        <f t="shared" si="120"/>
        <v>60</v>
      </c>
      <c r="P749" t="str">
        <f t="shared" si="121"/>
        <v>Association Loi 1901 non Reconnue d'Utilité Publique</v>
      </c>
      <c r="Q749" t="str">
        <f t="shared" si="118"/>
        <v>36</v>
      </c>
      <c r="R749" t="str">
        <f t="shared" si="119"/>
        <v>Tarifs conventionnels assurance maladie</v>
      </c>
      <c r="U749" t="str">
        <f>"350055109"</f>
        <v>350055109</v>
      </c>
    </row>
    <row r="750" spans="1:21" x14ac:dyDescent="0.3">
      <c r="A750" t="str">
        <f>"600016273"</f>
        <v>600016273</v>
      </c>
      <c r="B750" t="str">
        <f>"900 034 695 00016"</f>
        <v>900 034 695 00016</v>
      </c>
      <c r="D750" t="str">
        <f>"CSD VIVERO GOUVIEUX"</f>
        <v>CSD VIVERO GOUVIEUX</v>
      </c>
      <c r="E750" t="str">
        <f>"ZONE ARTISANALE DU COQ CHANTANT"</f>
        <v>ZONE ARTISANALE DU COQ CHANTANT</v>
      </c>
      <c r="F750" t="str">
        <f>"LES 8 CURÉS"</f>
        <v>LES 8 CURÉS</v>
      </c>
      <c r="H750" t="str">
        <f>"60270"</f>
        <v>60270</v>
      </c>
      <c r="I750" t="str">
        <f>"GOUVIEUX"</f>
        <v>GOUVIEUX</v>
      </c>
      <c r="L750" s="1">
        <v>44348</v>
      </c>
      <c r="M750" t="str">
        <f t="shared" si="112"/>
        <v>124</v>
      </c>
      <c r="N750" t="str">
        <f t="shared" si="113"/>
        <v>Centre de Santé</v>
      </c>
      <c r="O750" t="str">
        <f>"61"</f>
        <v>61</v>
      </c>
      <c r="P750" t="str">
        <f>"Association Loi 1901 Reconnue d'Utilité Publique"</f>
        <v>Association Loi 1901 Reconnue d'Utilité Publique</v>
      </c>
      <c r="Q750" t="str">
        <f t="shared" si="118"/>
        <v>36</v>
      </c>
      <c r="R750" t="str">
        <f t="shared" si="119"/>
        <v>Tarifs conventionnels assurance maladie</v>
      </c>
      <c r="U750" t="str">
        <f>"600016265"</f>
        <v>600016265</v>
      </c>
    </row>
    <row r="751" spans="1:21" x14ac:dyDescent="0.3">
      <c r="A751" t="str">
        <f>"640021119"</f>
        <v>640021119</v>
      </c>
      <c r="B751" t="str">
        <f>"414 503 920 00038"</f>
        <v>414 503 920 00038</v>
      </c>
      <c r="D751" t="str">
        <f>"CDS DU BASSIN DE LACQ"</f>
        <v>CDS DU BASSIN DE LACQ</v>
      </c>
      <c r="E751" t="str">
        <f>"POLE DE SANTE SIMONE VEIL"</f>
        <v>POLE DE SANTE SIMONE VEIL</v>
      </c>
      <c r="F751" t="str">
        <f>"6 PLACE DU BEARN"</f>
        <v>6 PLACE DU BEARN</v>
      </c>
      <c r="H751" t="str">
        <f>"64150"</f>
        <v>64150</v>
      </c>
      <c r="I751" t="str">
        <f>"MOURENX"</f>
        <v>MOURENX</v>
      </c>
      <c r="J751" t="str">
        <f>"05 59 11 63 88 "</f>
        <v xml:space="preserve">05 59 11 63 88 </v>
      </c>
      <c r="L751" s="1">
        <v>44348</v>
      </c>
      <c r="M751" t="str">
        <f t="shared" si="112"/>
        <v>124</v>
      </c>
      <c r="N751" t="str">
        <f t="shared" si="113"/>
        <v>Centre de Santé</v>
      </c>
      <c r="O751" t="str">
        <f t="shared" ref="O751:O758" si="122">"60"</f>
        <v>60</v>
      </c>
      <c r="P751" t="str">
        <f t="shared" ref="P751:P758" si="123">"Association Loi 1901 non Reconnue d'Utilité Publique"</f>
        <v>Association Loi 1901 non Reconnue d'Utilité Publique</v>
      </c>
      <c r="Q751" t="str">
        <f t="shared" si="118"/>
        <v>36</v>
      </c>
      <c r="R751" t="str">
        <f t="shared" si="119"/>
        <v>Tarifs conventionnels assurance maladie</v>
      </c>
      <c r="U751" t="str">
        <f>"640013314"</f>
        <v>640013314</v>
      </c>
    </row>
    <row r="752" spans="1:21" x14ac:dyDescent="0.3">
      <c r="A752" t="str">
        <f>"690049226"</f>
        <v>690049226</v>
      </c>
      <c r="B752" t="str">
        <f>"890 445 315 00017"</f>
        <v>890 445 315 00017</v>
      </c>
      <c r="D752" t="str">
        <f>"CENTRE DE SANTE MONCEY"</f>
        <v>CENTRE DE SANTE MONCEY</v>
      </c>
      <c r="F752" t="str">
        <f>"110 RUE MONCEY"</f>
        <v>110 RUE MONCEY</v>
      </c>
      <c r="H752" t="str">
        <f>"69003"</f>
        <v>69003</v>
      </c>
      <c r="I752" t="str">
        <f>"LYON"</f>
        <v>LYON</v>
      </c>
      <c r="L752" s="1">
        <v>44348</v>
      </c>
      <c r="M752" t="str">
        <f t="shared" si="112"/>
        <v>124</v>
      </c>
      <c r="N752" t="str">
        <f t="shared" si="113"/>
        <v>Centre de Santé</v>
      </c>
      <c r="O752" t="str">
        <f t="shared" si="122"/>
        <v>60</v>
      </c>
      <c r="P752" t="str">
        <f t="shared" si="123"/>
        <v>Association Loi 1901 non Reconnue d'Utilité Publique</v>
      </c>
      <c r="Q752" t="str">
        <f t="shared" si="118"/>
        <v>36</v>
      </c>
      <c r="R752" t="str">
        <f t="shared" si="119"/>
        <v>Tarifs conventionnels assurance maladie</v>
      </c>
      <c r="U752" t="str">
        <f>"690049218"</f>
        <v>690049218</v>
      </c>
    </row>
    <row r="753" spans="1:21" x14ac:dyDescent="0.3">
      <c r="A753" t="str">
        <f>"690050125"</f>
        <v>690050125</v>
      </c>
      <c r="B753" t="str">
        <f>"891 546 657 00018"</f>
        <v>891 546 657 00018</v>
      </c>
      <c r="D753" t="str">
        <f>"CENTRE DE SANTE HALPPY"</f>
        <v>CENTRE DE SANTE HALPPY</v>
      </c>
      <c r="F753" t="str">
        <f>"40 AVENUE VICTOR HUGO"</f>
        <v>40 AVENUE VICTOR HUGO</v>
      </c>
      <c r="H753" t="str">
        <f>"69160"</f>
        <v>69160</v>
      </c>
      <c r="I753" t="str">
        <f>"TASSIN LA DEMI LUNE"</f>
        <v>TASSIN LA DEMI LUNE</v>
      </c>
      <c r="J753" t="str">
        <f>"04 81 09 90 01 "</f>
        <v xml:space="preserve">04 81 09 90 01 </v>
      </c>
      <c r="L753" s="1">
        <v>44348</v>
      </c>
      <c r="M753" t="str">
        <f t="shared" si="112"/>
        <v>124</v>
      </c>
      <c r="N753" t="str">
        <f t="shared" si="113"/>
        <v>Centre de Santé</v>
      </c>
      <c r="O753" t="str">
        <f t="shared" si="122"/>
        <v>60</v>
      </c>
      <c r="P753" t="str">
        <f t="shared" si="123"/>
        <v>Association Loi 1901 non Reconnue d'Utilité Publique</v>
      </c>
      <c r="Q753" t="str">
        <f t="shared" si="118"/>
        <v>36</v>
      </c>
      <c r="R753" t="str">
        <f t="shared" si="119"/>
        <v>Tarifs conventionnels assurance maladie</v>
      </c>
      <c r="U753" t="str">
        <f>"690050117"</f>
        <v>690050117</v>
      </c>
    </row>
    <row r="754" spans="1:21" x14ac:dyDescent="0.3">
      <c r="A754" t="str">
        <f>"690050422"</f>
        <v>690050422</v>
      </c>
      <c r="B754" t="str">
        <f>"810 995 852 00169"</f>
        <v>810 995 852 00169</v>
      </c>
      <c r="D754" t="str">
        <f>"CENTRE DE SANTE DENTAIRE DE VALMY"</f>
        <v>CENTRE DE SANTE DENTAIRE DE VALMY</v>
      </c>
      <c r="F754" t="str">
        <f>"35 RUE MARIETTON"</f>
        <v>35 RUE MARIETTON</v>
      </c>
      <c r="H754" t="str">
        <f>"69009"</f>
        <v>69009</v>
      </c>
      <c r="I754" t="str">
        <f>"LYON"</f>
        <v>LYON</v>
      </c>
      <c r="J754" t="str">
        <f>"04 28 29 25 26 "</f>
        <v xml:space="preserve">04 28 29 25 26 </v>
      </c>
      <c r="L754" s="1">
        <v>44348</v>
      </c>
      <c r="M754" t="str">
        <f t="shared" si="112"/>
        <v>124</v>
      </c>
      <c r="N754" t="str">
        <f t="shared" si="113"/>
        <v>Centre de Santé</v>
      </c>
      <c r="O754" t="str">
        <f t="shared" si="122"/>
        <v>60</v>
      </c>
      <c r="P754" t="str">
        <f t="shared" si="123"/>
        <v>Association Loi 1901 non Reconnue d'Utilité Publique</v>
      </c>
      <c r="Q754" t="str">
        <f t="shared" si="118"/>
        <v>36</v>
      </c>
      <c r="R754" t="str">
        <f t="shared" si="119"/>
        <v>Tarifs conventionnels assurance maladie</v>
      </c>
      <c r="U754" t="str">
        <f>"750057440"</f>
        <v>750057440</v>
      </c>
    </row>
    <row r="755" spans="1:21" x14ac:dyDescent="0.3">
      <c r="A755" t="str">
        <f>"700005838"</f>
        <v>700005838</v>
      </c>
      <c r="B755" t="str">
        <f>"878 340 256 00022"</f>
        <v>878 340 256 00022</v>
      </c>
      <c r="D755" t="str">
        <f>"CENTRE DE SANTE INFIRMIER DE LUXEUIL"</f>
        <v>CENTRE DE SANTE INFIRMIER DE LUXEUIL</v>
      </c>
      <c r="F755" t="str">
        <f>"17 RUE MARTYRS DE LA RESISTANCE"</f>
        <v>17 RUE MARTYRS DE LA RESISTANCE</v>
      </c>
      <c r="H755" t="str">
        <f>"70300"</f>
        <v>70300</v>
      </c>
      <c r="I755" t="str">
        <f>"LUXEUIL LES BAINS"</f>
        <v>LUXEUIL LES BAINS</v>
      </c>
      <c r="L755" s="1">
        <v>44348</v>
      </c>
      <c r="M755" t="str">
        <f t="shared" si="112"/>
        <v>124</v>
      </c>
      <c r="N755" t="str">
        <f t="shared" si="113"/>
        <v>Centre de Santé</v>
      </c>
      <c r="O755" t="str">
        <f t="shared" si="122"/>
        <v>60</v>
      </c>
      <c r="P755" t="str">
        <f t="shared" si="123"/>
        <v>Association Loi 1901 non Reconnue d'Utilité Publique</v>
      </c>
      <c r="Q755" t="str">
        <f t="shared" si="118"/>
        <v>36</v>
      </c>
      <c r="R755" t="str">
        <f t="shared" si="119"/>
        <v>Tarifs conventionnels assurance maladie</v>
      </c>
      <c r="U755" t="str">
        <f>"250019510"</f>
        <v>250019510</v>
      </c>
    </row>
    <row r="756" spans="1:21" x14ac:dyDescent="0.3">
      <c r="A756" t="str">
        <f>"920037298"</f>
        <v>920037298</v>
      </c>
      <c r="B756" t="str">
        <f>"894 399 849 00013"</f>
        <v>894 399 849 00013</v>
      </c>
      <c r="D756" t="str">
        <f>"CDS D'OPHTALMOLOGIE DU LUTH"</f>
        <v>CDS D'OPHTALMOLOGIE DU LUTH</v>
      </c>
      <c r="F756" t="str">
        <f>"11 PLACE PRESIDENT SALVADOR ALLENDE"</f>
        <v>11 PLACE PRESIDENT SALVADOR ALLENDE</v>
      </c>
      <c r="H756" t="str">
        <f>"92230"</f>
        <v>92230</v>
      </c>
      <c r="I756" t="str">
        <f>"GENNEVILLIERS"</f>
        <v>GENNEVILLIERS</v>
      </c>
      <c r="J756" t="str">
        <f>"06 29 31 98 06 "</f>
        <v xml:space="preserve">06 29 31 98 06 </v>
      </c>
      <c r="L756" s="1">
        <v>44348</v>
      </c>
      <c r="M756" t="str">
        <f t="shared" si="112"/>
        <v>124</v>
      </c>
      <c r="N756" t="str">
        <f t="shared" si="113"/>
        <v>Centre de Santé</v>
      </c>
      <c r="O756" t="str">
        <f t="shared" si="122"/>
        <v>60</v>
      </c>
      <c r="P756" t="str">
        <f t="shared" si="123"/>
        <v>Association Loi 1901 non Reconnue d'Utilité Publique</v>
      </c>
      <c r="Q756" t="str">
        <f t="shared" si="118"/>
        <v>36</v>
      </c>
      <c r="R756" t="str">
        <f t="shared" si="119"/>
        <v>Tarifs conventionnels assurance maladie</v>
      </c>
      <c r="U756" t="str">
        <f>"920037280"</f>
        <v>920037280</v>
      </c>
    </row>
    <row r="757" spans="1:21" x14ac:dyDescent="0.3">
      <c r="A757" t="str">
        <f>"930029608"</f>
        <v>930029608</v>
      </c>
      <c r="B757" t="str">
        <f>"877 696 245 00019"</f>
        <v>877 696 245 00019</v>
      </c>
      <c r="D757" t="str">
        <f>"CDS MEDICO-DENTAIRE DE LIVRY GARGAN"</f>
        <v>CDS MEDICO-DENTAIRE DE LIVRY GARGAN</v>
      </c>
      <c r="F757" t="str">
        <f>"2 ALLEE DE L'EST"</f>
        <v>2 ALLEE DE L'EST</v>
      </c>
      <c r="H757" t="str">
        <f>"93190"</f>
        <v>93190</v>
      </c>
      <c r="I757" t="str">
        <f>"LIVRY GARGAN"</f>
        <v>LIVRY GARGAN</v>
      </c>
      <c r="J757" t="str">
        <f>"01 86 90 39 39 "</f>
        <v xml:space="preserve">01 86 90 39 39 </v>
      </c>
      <c r="L757" s="1">
        <v>44348</v>
      </c>
      <c r="M757" t="str">
        <f t="shared" si="112"/>
        <v>124</v>
      </c>
      <c r="N757" t="str">
        <f t="shared" si="113"/>
        <v>Centre de Santé</v>
      </c>
      <c r="O757" t="str">
        <f t="shared" si="122"/>
        <v>60</v>
      </c>
      <c r="P757" t="str">
        <f t="shared" si="123"/>
        <v>Association Loi 1901 non Reconnue d'Utilité Publique</v>
      </c>
      <c r="Q757" t="str">
        <f t="shared" si="118"/>
        <v>36</v>
      </c>
      <c r="R757" t="str">
        <f t="shared" si="119"/>
        <v>Tarifs conventionnels assurance maladie</v>
      </c>
      <c r="U757" t="str">
        <f>"930029590"</f>
        <v>930029590</v>
      </c>
    </row>
    <row r="758" spans="1:21" x14ac:dyDescent="0.3">
      <c r="A758" t="str">
        <f>"950045526"</f>
        <v>950045526</v>
      </c>
      <c r="B758" t="str">
        <f>"890 927 379 00028"</f>
        <v>890 927 379 00028</v>
      </c>
      <c r="D758" t="str">
        <f>"CDS DENTAIRE ASNIERES SUR OISE"</f>
        <v>CDS DENTAIRE ASNIERES SUR OISE</v>
      </c>
      <c r="F758" t="str">
        <f>"AVENUE DE ROYAUMONT"</f>
        <v>AVENUE DE ROYAUMONT</v>
      </c>
      <c r="H758" t="str">
        <f>"95270"</f>
        <v>95270</v>
      </c>
      <c r="I758" t="str">
        <f>"ASNIERES SUR OISE"</f>
        <v>ASNIERES SUR OISE</v>
      </c>
      <c r="J758" t="str">
        <f>"06 29 21 59 01 "</f>
        <v xml:space="preserve">06 29 21 59 01 </v>
      </c>
      <c r="L758" s="1">
        <v>44343</v>
      </c>
      <c r="M758" t="str">
        <f t="shared" si="112"/>
        <v>124</v>
      </c>
      <c r="N758" t="str">
        <f t="shared" si="113"/>
        <v>Centre de Santé</v>
      </c>
      <c r="O758" t="str">
        <f t="shared" si="122"/>
        <v>60</v>
      </c>
      <c r="P758" t="str">
        <f t="shared" si="123"/>
        <v>Association Loi 1901 non Reconnue d'Utilité Publique</v>
      </c>
      <c r="Q758" t="str">
        <f t="shared" si="118"/>
        <v>36</v>
      </c>
      <c r="R758" t="str">
        <f t="shared" si="119"/>
        <v>Tarifs conventionnels assurance maladie</v>
      </c>
      <c r="U758" t="str">
        <f>"950047183"</f>
        <v>950047183</v>
      </c>
    </row>
    <row r="759" spans="1:21" x14ac:dyDescent="0.3">
      <c r="A759" t="str">
        <f>"260021886"</f>
        <v>260021886</v>
      </c>
      <c r="B759" t="str">
        <f>"971 502 596 00044"</f>
        <v>971 502 596 00044</v>
      </c>
      <c r="D759" t="str">
        <f>"CENTRE DE SANTE DE PIERRELATTE HPEL"</f>
        <v>CENTRE DE SANTE DE PIERRELATTE HPEL</v>
      </c>
      <c r="F759" t="str">
        <f>"15 RUE VICTOR PAGES"</f>
        <v>15 RUE VICTOR PAGES</v>
      </c>
      <c r="H759" t="str">
        <f>"26700"</f>
        <v>26700</v>
      </c>
      <c r="I759" t="str">
        <f>"PIERRELATTE"</f>
        <v>PIERRELATTE</v>
      </c>
      <c r="L759" s="1">
        <v>44342</v>
      </c>
      <c r="M759" t="str">
        <f t="shared" si="112"/>
        <v>124</v>
      </c>
      <c r="N759" t="str">
        <f t="shared" si="113"/>
        <v>Centre de Santé</v>
      </c>
      <c r="O759" t="str">
        <f>"95"</f>
        <v>95</v>
      </c>
      <c r="P759" t="str">
        <f>"Société par Actions Simplifiée (S.A.S.)"</f>
        <v>Société par Actions Simplifiée (S.A.S.)</v>
      </c>
      <c r="Q759" t="str">
        <f t="shared" si="118"/>
        <v>36</v>
      </c>
      <c r="R759" t="str">
        <f t="shared" si="119"/>
        <v>Tarifs conventionnels assurance maladie</v>
      </c>
      <c r="U759" t="str">
        <f>"690000377"</f>
        <v>690000377</v>
      </c>
    </row>
    <row r="760" spans="1:21" x14ac:dyDescent="0.3">
      <c r="A760" t="str">
        <f>"260021902"</f>
        <v>260021902</v>
      </c>
      <c r="D760" t="str">
        <f>"CENTRE DE SANTE DE ST RAMBERT D'ALBON"</f>
        <v>CENTRE DE SANTE DE ST RAMBERT D'ALBON</v>
      </c>
      <c r="F760" t="str">
        <f>"1 RUE DES PRES"</f>
        <v>1 RUE DES PRES</v>
      </c>
      <c r="H760" t="str">
        <f>"26140"</f>
        <v>26140</v>
      </c>
      <c r="I760" t="str">
        <f>"ST RAMBERT D ALBON"</f>
        <v>ST RAMBERT D ALBON</v>
      </c>
      <c r="L760" s="1">
        <v>44342</v>
      </c>
      <c r="M760" t="str">
        <f t="shared" si="112"/>
        <v>124</v>
      </c>
      <c r="N760" t="str">
        <f t="shared" si="113"/>
        <v>Centre de Santé</v>
      </c>
      <c r="O760" t="str">
        <f>"03"</f>
        <v>03</v>
      </c>
      <c r="P760" t="str">
        <f>"Commune"</f>
        <v>Commune</v>
      </c>
      <c r="Q760" t="str">
        <f t="shared" si="118"/>
        <v>36</v>
      </c>
      <c r="R760" t="str">
        <f t="shared" si="119"/>
        <v>Tarifs conventionnels assurance maladie</v>
      </c>
      <c r="U760" t="str">
        <f>"260021894"</f>
        <v>260021894</v>
      </c>
    </row>
    <row r="761" spans="1:21" x14ac:dyDescent="0.3">
      <c r="A761" t="str">
        <f>"780028171"</f>
        <v>780028171</v>
      </c>
      <c r="B761" t="str">
        <f>"891 076 960 00014"</f>
        <v>891 076 960 00014</v>
      </c>
      <c r="D761" t="str">
        <f>"CDS ESPACE MED DENT PLAISIR DOC&amp;SMILE"</f>
        <v>CDS ESPACE MED DENT PLAISIR DOC&amp;SMILE</v>
      </c>
      <c r="F761" t="str">
        <f>"33 RUE DE LA GARE"</f>
        <v>33 RUE DE LA GARE</v>
      </c>
      <c r="H761" t="str">
        <f>"78370"</f>
        <v>78370</v>
      </c>
      <c r="I761" t="str">
        <f>"PLAISIR"</f>
        <v>PLAISIR</v>
      </c>
      <c r="J761" t="str">
        <f>"06 51 52 53 07 "</f>
        <v xml:space="preserve">06 51 52 53 07 </v>
      </c>
      <c r="L761" s="1">
        <v>44342</v>
      </c>
      <c r="M761" t="str">
        <f t="shared" si="112"/>
        <v>124</v>
      </c>
      <c r="N761" t="str">
        <f t="shared" si="113"/>
        <v>Centre de Santé</v>
      </c>
      <c r="O761" t="str">
        <f>"60"</f>
        <v>60</v>
      </c>
      <c r="P761" t="str">
        <f>"Association Loi 1901 non Reconnue d'Utilité Publique"</f>
        <v>Association Loi 1901 non Reconnue d'Utilité Publique</v>
      </c>
      <c r="Q761" t="str">
        <f t="shared" si="118"/>
        <v>36</v>
      </c>
      <c r="R761" t="str">
        <f t="shared" si="119"/>
        <v>Tarifs conventionnels assurance maladie</v>
      </c>
      <c r="U761" t="str">
        <f>"780028163"</f>
        <v>780028163</v>
      </c>
    </row>
    <row r="762" spans="1:21" x14ac:dyDescent="0.3">
      <c r="A762" t="str">
        <f>"920037405"</f>
        <v>920037405</v>
      </c>
      <c r="B762" t="str">
        <f>"894 486 638 00014"</f>
        <v>894 486 638 00014</v>
      </c>
      <c r="D762" t="str">
        <f>"CDS DENTAIRE ET D OPHTALMOGIE VOLTAIRE"</f>
        <v>CDS DENTAIRE ET D OPHTALMOGIE VOLTAIRE</v>
      </c>
      <c r="F762" t="str">
        <f>"23 BOULEVARD VOLTAIRE"</f>
        <v>23 BOULEVARD VOLTAIRE</v>
      </c>
      <c r="H762" t="str">
        <f>"92600"</f>
        <v>92600</v>
      </c>
      <c r="I762" t="str">
        <f>"ASNIERES SUR SEINE"</f>
        <v>ASNIERES SUR SEINE</v>
      </c>
      <c r="J762" t="str">
        <f>"06 15 47 18 76 "</f>
        <v xml:space="preserve">06 15 47 18 76 </v>
      </c>
      <c r="L762" s="1">
        <v>44342</v>
      </c>
      <c r="M762" t="str">
        <f t="shared" si="112"/>
        <v>124</v>
      </c>
      <c r="N762" t="str">
        <f t="shared" si="113"/>
        <v>Centre de Santé</v>
      </c>
      <c r="O762" t="str">
        <f>"60"</f>
        <v>60</v>
      </c>
      <c r="P762" t="str">
        <f>"Association Loi 1901 non Reconnue d'Utilité Publique"</f>
        <v>Association Loi 1901 non Reconnue d'Utilité Publique</v>
      </c>
      <c r="Q762" t="str">
        <f t="shared" si="118"/>
        <v>36</v>
      </c>
      <c r="R762" t="str">
        <f t="shared" si="119"/>
        <v>Tarifs conventionnels assurance maladie</v>
      </c>
      <c r="U762" t="str">
        <f>"920037397"</f>
        <v>920037397</v>
      </c>
    </row>
    <row r="763" spans="1:21" x14ac:dyDescent="0.3">
      <c r="A763" t="str">
        <f>"400015475"</f>
        <v>400015475</v>
      </c>
      <c r="B763" t="str">
        <f>"390 749 547 00241"</f>
        <v>390 749 547 00241</v>
      </c>
      <c r="D763" t="str">
        <f>"CDS POLYVALENT MUTUALISTE PEYREHORADE"</f>
        <v>CDS POLYVALENT MUTUALISTE PEYREHORADE</v>
      </c>
      <c r="F763" t="str">
        <f>"395 AVENUE GENERAL DE GAULLE"</f>
        <v>395 AVENUE GENERAL DE GAULLE</v>
      </c>
      <c r="H763" t="str">
        <f>"40300"</f>
        <v>40300</v>
      </c>
      <c r="I763" t="str">
        <f>"PEYREHORADE"</f>
        <v>PEYREHORADE</v>
      </c>
      <c r="J763" t="str">
        <f>"05 58 48 76 73 "</f>
        <v xml:space="preserve">05 58 48 76 73 </v>
      </c>
      <c r="L763" s="1">
        <v>44341</v>
      </c>
      <c r="M763" t="str">
        <f t="shared" si="112"/>
        <v>124</v>
      </c>
      <c r="N763" t="str">
        <f t="shared" si="113"/>
        <v>Centre de Santé</v>
      </c>
      <c r="O763" t="str">
        <f>"47"</f>
        <v>47</v>
      </c>
      <c r="P763" t="str">
        <f>"Société Mutualiste"</f>
        <v>Société Mutualiste</v>
      </c>
      <c r="Q763" t="str">
        <f t="shared" si="118"/>
        <v>36</v>
      </c>
      <c r="R763" t="str">
        <f t="shared" si="119"/>
        <v>Tarifs conventionnels assurance maladie</v>
      </c>
      <c r="U763" t="str">
        <f>"400011300"</f>
        <v>400011300</v>
      </c>
    </row>
    <row r="764" spans="1:21" x14ac:dyDescent="0.3">
      <c r="A764" t="str">
        <f>"400015483"</f>
        <v>400015483</v>
      </c>
      <c r="B764" t="str">
        <f>"390 749 547 00233"</f>
        <v>390 749 547 00233</v>
      </c>
      <c r="D764" t="str">
        <f>"CDS POLYVALENT MUTUALISTE VILLENEUVE"</f>
        <v>CDS POLYVALENT MUTUALISTE VILLENEUVE</v>
      </c>
      <c r="F764" t="str">
        <f>"80 RUE GRAND RUE"</f>
        <v>80 RUE GRAND RUE</v>
      </c>
      <c r="H764" t="str">
        <f>"40190"</f>
        <v>40190</v>
      </c>
      <c r="I764" t="str">
        <f>"VILLENEUVE DE MARSAN"</f>
        <v>VILLENEUVE DE MARSAN</v>
      </c>
      <c r="J764" t="str">
        <f>"05 58 35 97 05 "</f>
        <v xml:space="preserve">05 58 35 97 05 </v>
      </c>
      <c r="L764" s="1">
        <v>44340</v>
      </c>
      <c r="M764" t="str">
        <f t="shared" si="112"/>
        <v>124</v>
      </c>
      <c r="N764" t="str">
        <f t="shared" si="113"/>
        <v>Centre de Santé</v>
      </c>
      <c r="O764" t="str">
        <f>"47"</f>
        <v>47</v>
      </c>
      <c r="P764" t="str">
        <f>"Société Mutualiste"</f>
        <v>Société Mutualiste</v>
      </c>
      <c r="Q764" t="str">
        <f t="shared" si="118"/>
        <v>36</v>
      </c>
      <c r="R764" t="str">
        <f t="shared" si="119"/>
        <v>Tarifs conventionnels assurance maladie</v>
      </c>
      <c r="U764" t="str">
        <f>"400011300"</f>
        <v>400011300</v>
      </c>
    </row>
    <row r="765" spans="1:21" x14ac:dyDescent="0.3">
      <c r="A765" t="str">
        <f>"800020760"</f>
        <v>800020760</v>
      </c>
      <c r="B765" t="str">
        <f>"792 085 292 00045"</f>
        <v>792 085 292 00045</v>
      </c>
      <c r="D765" t="str">
        <f>"CSP SOMED AMIENS"</f>
        <v>CSP SOMED AMIENS</v>
      </c>
      <c r="F765" t="str">
        <f>"150 AVENUE DE L'EUROPE"</f>
        <v>150 AVENUE DE L'EUROPE</v>
      </c>
      <c r="H765" t="str">
        <f>"80000"</f>
        <v>80000</v>
      </c>
      <c r="I765" t="str">
        <f>"AMIENS"</f>
        <v>AMIENS</v>
      </c>
      <c r="J765" t="str">
        <f>"03 10 95 19 51 "</f>
        <v xml:space="preserve">03 10 95 19 51 </v>
      </c>
      <c r="L765" s="1">
        <v>44340</v>
      </c>
      <c r="M765" t="str">
        <f t="shared" si="112"/>
        <v>124</v>
      </c>
      <c r="N765" t="str">
        <f t="shared" si="113"/>
        <v>Centre de Santé</v>
      </c>
      <c r="O765" t="str">
        <f>"61"</f>
        <v>61</v>
      </c>
      <c r="P765" t="str">
        <f>"Association Loi 1901 Reconnue d'Utilité Publique"</f>
        <v>Association Loi 1901 Reconnue d'Utilité Publique</v>
      </c>
      <c r="Q765" t="str">
        <f t="shared" si="118"/>
        <v>36</v>
      </c>
      <c r="R765" t="str">
        <f t="shared" si="119"/>
        <v>Tarifs conventionnels assurance maladie</v>
      </c>
      <c r="U765" t="str">
        <f>"800020752"</f>
        <v>800020752</v>
      </c>
    </row>
    <row r="766" spans="1:21" x14ac:dyDescent="0.3">
      <c r="A766" t="str">
        <f>"670021054"</f>
        <v>670021054</v>
      </c>
      <c r="B766" t="str">
        <f>"888 604 865 00020"</f>
        <v>888 604 865 00020</v>
      </c>
      <c r="D766" t="str">
        <f>"CTRE DENTAIRE FAUTEUIL BLEU - SCHILTIG"</f>
        <v>CTRE DENTAIRE FAUTEUIL BLEU - SCHILTIG</v>
      </c>
      <c r="F766" t="str">
        <f>"9 ALLEE ROBERT THÉOPHILE DEBUS"</f>
        <v>9 ALLEE ROBERT THÉOPHILE DEBUS</v>
      </c>
      <c r="H766" t="str">
        <f>"67300"</f>
        <v>67300</v>
      </c>
      <c r="I766" t="str">
        <f>"SCHILTIGHEIM"</f>
        <v>SCHILTIGHEIM</v>
      </c>
      <c r="J766" t="str">
        <f>"03 88 19 62 00 "</f>
        <v xml:space="preserve">03 88 19 62 00 </v>
      </c>
      <c r="L766" s="1">
        <v>44335</v>
      </c>
      <c r="M766" t="str">
        <f t="shared" si="112"/>
        <v>124</v>
      </c>
      <c r="N766" t="str">
        <f t="shared" si="113"/>
        <v>Centre de Santé</v>
      </c>
      <c r="O766" t="str">
        <f>"62"</f>
        <v>62</v>
      </c>
      <c r="P766" t="str">
        <f>"Association de Droit Local"</f>
        <v>Association de Droit Local</v>
      </c>
      <c r="Q766" t="str">
        <f t="shared" si="118"/>
        <v>36</v>
      </c>
      <c r="R766" t="str">
        <f t="shared" si="119"/>
        <v>Tarifs conventionnels assurance maladie</v>
      </c>
      <c r="U766" t="str">
        <f>"670021047"</f>
        <v>670021047</v>
      </c>
    </row>
    <row r="767" spans="1:21" x14ac:dyDescent="0.3">
      <c r="A767" t="str">
        <f>"910025618"</f>
        <v>910025618</v>
      </c>
      <c r="B767" t="str">
        <f>"892 872 755 00012"</f>
        <v>892 872 755 00012</v>
      </c>
      <c r="D767" t="str">
        <f>"CDS DENTAIRE DE MASSY"</f>
        <v>CDS DENTAIRE DE MASSY</v>
      </c>
      <c r="F767" t="str">
        <f>"9 PLACE DE L UNION EUROPEENNE"</f>
        <v>9 PLACE DE L UNION EUROPEENNE</v>
      </c>
      <c r="H767" t="str">
        <f>"91300"</f>
        <v>91300</v>
      </c>
      <c r="I767" t="str">
        <f>"MASSY"</f>
        <v>MASSY</v>
      </c>
      <c r="J767" t="str">
        <f>"06 49 82 10 85 "</f>
        <v xml:space="preserve">06 49 82 10 85 </v>
      </c>
      <c r="L767" s="1">
        <v>44335</v>
      </c>
      <c r="M767" t="str">
        <f t="shared" si="112"/>
        <v>124</v>
      </c>
      <c r="N767" t="str">
        <f t="shared" si="113"/>
        <v>Centre de Santé</v>
      </c>
      <c r="O767" t="str">
        <f t="shared" ref="O767:O773" si="124">"60"</f>
        <v>60</v>
      </c>
      <c r="P767" t="str">
        <f t="shared" ref="P767:P773" si="125">"Association Loi 1901 non Reconnue d'Utilité Publique"</f>
        <v>Association Loi 1901 non Reconnue d'Utilité Publique</v>
      </c>
      <c r="Q767" t="str">
        <f t="shared" si="118"/>
        <v>36</v>
      </c>
      <c r="R767" t="str">
        <f t="shared" si="119"/>
        <v>Tarifs conventionnels assurance maladie</v>
      </c>
      <c r="U767" t="str">
        <f>"910025600"</f>
        <v>910025600</v>
      </c>
    </row>
    <row r="768" spans="1:21" x14ac:dyDescent="0.3">
      <c r="A768" t="str">
        <f>"450022942"</f>
        <v>450022942</v>
      </c>
      <c r="B768" t="str">
        <f>"313 524 753 00230"</f>
        <v>313 524 753 00230</v>
      </c>
      <c r="D768" t="str">
        <f>"CENTRE MÉDICAL DENTAIRE COSEM ORLÉANS"</f>
        <v>CENTRE MÉDICAL DENTAIRE COSEM ORLÉANS</v>
      </c>
      <c r="F768" t="str">
        <f>"24 PLACE DE GAULLE"</f>
        <v>24 PLACE DE GAULLE</v>
      </c>
      <c r="H768" t="str">
        <f>"45000"</f>
        <v>45000</v>
      </c>
      <c r="I768" t="str">
        <f>"ORLEANS"</f>
        <v>ORLEANS</v>
      </c>
      <c r="J768" t="str">
        <f>"01 55 56 62 50 "</f>
        <v xml:space="preserve">01 55 56 62 50 </v>
      </c>
      <c r="L768" s="1">
        <v>44333</v>
      </c>
      <c r="M768" t="str">
        <f t="shared" si="112"/>
        <v>124</v>
      </c>
      <c r="N768" t="str">
        <f t="shared" si="113"/>
        <v>Centre de Santé</v>
      </c>
      <c r="O768" t="str">
        <f t="shared" si="124"/>
        <v>60</v>
      </c>
      <c r="P768" t="str">
        <f t="shared" si="125"/>
        <v>Association Loi 1901 non Reconnue d'Utilité Publique</v>
      </c>
      <c r="Q768" t="str">
        <f t="shared" si="118"/>
        <v>36</v>
      </c>
      <c r="R768" t="str">
        <f t="shared" si="119"/>
        <v>Tarifs conventionnels assurance maladie</v>
      </c>
      <c r="U768" t="str">
        <f>"750819583"</f>
        <v>750819583</v>
      </c>
    </row>
    <row r="769" spans="1:21" x14ac:dyDescent="0.3">
      <c r="A769" t="str">
        <f>"450022975"</f>
        <v>450022975</v>
      </c>
      <c r="B769" t="str">
        <f>"313 524 753 00230"</f>
        <v>313 524 753 00230</v>
      </c>
      <c r="D769" t="str">
        <f>"CTRE MÉDICAL DENTAIRE COSEM ORLÉANS"</f>
        <v>CTRE MÉDICAL DENTAIRE COSEM ORLÉANS</v>
      </c>
      <c r="F769" t="str">
        <f>"34 RUE FOURNIER"</f>
        <v>34 RUE FOURNIER</v>
      </c>
      <c r="H769" t="str">
        <f>"45100"</f>
        <v>45100</v>
      </c>
      <c r="I769" t="str">
        <f>"ORLEANS"</f>
        <v>ORLEANS</v>
      </c>
      <c r="L769" s="1">
        <v>44333</v>
      </c>
      <c r="M769" t="str">
        <f t="shared" si="112"/>
        <v>124</v>
      </c>
      <c r="N769" t="str">
        <f t="shared" si="113"/>
        <v>Centre de Santé</v>
      </c>
      <c r="O769" t="str">
        <f t="shared" si="124"/>
        <v>60</v>
      </c>
      <c r="P769" t="str">
        <f t="shared" si="125"/>
        <v>Association Loi 1901 non Reconnue d'Utilité Publique</v>
      </c>
      <c r="Q769" t="str">
        <f t="shared" si="118"/>
        <v>36</v>
      </c>
      <c r="R769" t="str">
        <f t="shared" si="119"/>
        <v>Tarifs conventionnels assurance maladie</v>
      </c>
      <c r="U769" t="str">
        <f>"750819583"</f>
        <v>750819583</v>
      </c>
    </row>
    <row r="770" spans="1:21" x14ac:dyDescent="0.3">
      <c r="A770" t="str">
        <f>"770025526"</f>
        <v>770025526</v>
      </c>
      <c r="B770" t="str">
        <f>"897 504 643 00015"</f>
        <v>897 504 643 00015</v>
      </c>
      <c r="D770" t="str">
        <f>"CDS ACCES VISION SERRIS"</f>
        <v>CDS ACCES VISION SERRIS</v>
      </c>
      <c r="F770" t="str">
        <f>"10 PLACE D ARIANE"</f>
        <v>10 PLACE D ARIANE</v>
      </c>
      <c r="H770" t="str">
        <f>"77700"</f>
        <v>77700</v>
      </c>
      <c r="I770" t="str">
        <f>"SERRIS"</f>
        <v>SERRIS</v>
      </c>
      <c r="J770" t="str">
        <f>"01 85 45 18 05 "</f>
        <v xml:space="preserve">01 85 45 18 05 </v>
      </c>
      <c r="L770" s="1">
        <v>44333</v>
      </c>
      <c r="M770" t="str">
        <f t="shared" ref="M770:M833" si="126">"124"</f>
        <v>124</v>
      </c>
      <c r="N770" t="str">
        <f t="shared" ref="N770:N833" si="127">"Centre de Santé"</f>
        <v>Centre de Santé</v>
      </c>
      <c r="O770" t="str">
        <f t="shared" si="124"/>
        <v>60</v>
      </c>
      <c r="P770" t="str">
        <f t="shared" si="125"/>
        <v>Association Loi 1901 non Reconnue d'Utilité Publique</v>
      </c>
      <c r="Q770" t="str">
        <f t="shared" si="118"/>
        <v>36</v>
      </c>
      <c r="R770" t="str">
        <f t="shared" si="119"/>
        <v>Tarifs conventionnels assurance maladie</v>
      </c>
      <c r="U770" t="str">
        <f>"940027303"</f>
        <v>940027303</v>
      </c>
    </row>
    <row r="771" spans="1:21" x14ac:dyDescent="0.3">
      <c r="A771" t="str">
        <f>"940027287"</f>
        <v>940027287</v>
      </c>
      <c r="B771" t="str">
        <f>"894 821 727 00027"</f>
        <v>894 821 727 00027</v>
      </c>
      <c r="D771" t="str">
        <f>"CDS MEDICO DENTAIRE DE SAINT MAUR"</f>
        <v>CDS MEDICO DENTAIRE DE SAINT MAUR</v>
      </c>
      <c r="F771" t="str">
        <f>"14 AVENUE DU MESNIL"</f>
        <v>14 AVENUE DU MESNIL</v>
      </c>
      <c r="H771" t="str">
        <f>"94100"</f>
        <v>94100</v>
      </c>
      <c r="I771" t="str">
        <f>"ST MAUR DES FOSSES"</f>
        <v>ST MAUR DES FOSSES</v>
      </c>
      <c r="J771" t="str">
        <f>"01 84 74 55 55 "</f>
        <v xml:space="preserve">01 84 74 55 55 </v>
      </c>
      <c r="L771" s="1">
        <v>44333</v>
      </c>
      <c r="M771" t="str">
        <f t="shared" si="126"/>
        <v>124</v>
      </c>
      <c r="N771" t="str">
        <f t="shared" si="127"/>
        <v>Centre de Santé</v>
      </c>
      <c r="O771" t="str">
        <f t="shared" si="124"/>
        <v>60</v>
      </c>
      <c r="P771" t="str">
        <f t="shared" si="125"/>
        <v>Association Loi 1901 non Reconnue d'Utilité Publique</v>
      </c>
      <c r="Q771" t="str">
        <f t="shared" ref="Q771:Q802" si="128">"36"</f>
        <v>36</v>
      </c>
      <c r="R771" t="str">
        <f t="shared" ref="R771:R802" si="129">"Tarifs conventionnels assurance maladie"</f>
        <v>Tarifs conventionnels assurance maladie</v>
      </c>
      <c r="U771" t="str">
        <f>"940029002"</f>
        <v>940029002</v>
      </c>
    </row>
    <row r="772" spans="1:21" x14ac:dyDescent="0.3">
      <c r="A772" t="str">
        <f>"780028106"</f>
        <v>780028106</v>
      </c>
      <c r="B772" t="str">
        <f>"890 286 685 00015"</f>
        <v>890 286 685 00015</v>
      </c>
      <c r="D772" t="str">
        <f>"CDS DENTAIRE ET OPHTALMO PLAISIR"</f>
        <v>CDS DENTAIRE ET OPHTALMO PLAISIR</v>
      </c>
      <c r="F772" t="str">
        <f>"161 CHEMIN DEPARTEMENTAL"</f>
        <v>161 CHEMIN DEPARTEMENTAL</v>
      </c>
      <c r="G772" t="str">
        <f>"CC DE PLAISIR"</f>
        <v>CC DE PLAISIR</v>
      </c>
      <c r="H772" t="str">
        <f>"78370"</f>
        <v>78370</v>
      </c>
      <c r="I772" t="str">
        <f>"PLAISIR"</f>
        <v>PLAISIR</v>
      </c>
      <c r="J772" t="str">
        <f>"06 27 34 83 55 "</f>
        <v xml:space="preserve">06 27 34 83 55 </v>
      </c>
      <c r="L772" s="1">
        <v>44326</v>
      </c>
      <c r="M772" t="str">
        <f t="shared" si="126"/>
        <v>124</v>
      </c>
      <c r="N772" t="str">
        <f t="shared" si="127"/>
        <v>Centre de Santé</v>
      </c>
      <c r="O772" t="str">
        <f t="shared" si="124"/>
        <v>60</v>
      </c>
      <c r="P772" t="str">
        <f t="shared" si="125"/>
        <v>Association Loi 1901 non Reconnue d'Utilité Publique</v>
      </c>
      <c r="Q772" t="str">
        <f t="shared" si="128"/>
        <v>36</v>
      </c>
      <c r="R772" t="str">
        <f t="shared" si="129"/>
        <v>Tarifs conventionnels assurance maladie</v>
      </c>
      <c r="U772" t="str">
        <f>"780028098"</f>
        <v>780028098</v>
      </c>
    </row>
    <row r="773" spans="1:21" x14ac:dyDescent="0.3">
      <c r="A773" t="str">
        <f>"420017287"</f>
        <v>420017287</v>
      </c>
      <c r="B773" t="str">
        <f>"899 225 890 00016"</f>
        <v>899 225 890 00016</v>
      </c>
      <c r="D773" t="str">
        <f>"CENTRE DENTAIRE ET MEDICAL DU FOREZ"</f>
        <v>CENTRE DENTAIRE ET MEDICAL DU FOREZ</v>
      </c>
      <c r="F773" t="str">
        <f>"LOTISSEMENT 13"</f>
        <v>LOTISSEMENT 13</v>
      </c>
      <c r="G773" t="str">
        <f>"ZAC DES CREMERIEUX"</f>
        <v>ZAC DES CREMERIEUX</v>
      </c>
      <c r="H773" t="str">
        <f>"42600"</f>
        <v>42600</v>
      </c>
      <c r="I773" t="str">
        <f>"SAVIGNEUX"</f>
        <v>SAVIGNEUX</v>
      </c>
      <c r="L773" s="1">
        <v>44323</v>
      </c>
      <c r="M773" t="str">
        <f t="shared" si="126"/>
        <v>124</v>
      </c>
      <c r="N773" t="str">
        <f t="shared" si="127"/>
        <v>Centre de Santé</v>
      </c>
      <c r="O773" t="str">
        <f t="shared" si="124"/>
        <v>60</v>
      </c>
      <c r="P773" t="str">
        <f t="shared" si="125"/>
        <v>Association Loi 1901 non Reconnue d'Utilité Publique</v>
      </c>
      <c r="Q773" t="str">
        <f t="shared" si="128"/>
        <v>36</v>
      </c>
      <c r="R773" t="str">
        <f t="shared" si="129"/>
        <v>Tarifs conventionnels assurance maladie</v>
      </c>
      <c r="U773" t="str">
        <f>"420017279"</f>
        <v>420017279</v>
      </c>
    </row>
    <row r="774" spans="1:21" x14ac:dyDescent="0.3">
      <c r="A774" t="str">
        <f>"070008313"</f>
        <v>070008313</v>
      </c>
      <c r="B774" t="str">
        <f>"210 702 247 00086"</f>
        <v>210 702 247 00086</v>
      </c>
      <c r="D774" t="str">
        <f>"CENTRE DE SANTE ST CIRGUES EN MONTAGNE"</f>
        <v>CENTRE DE SANTE ST CIRGUES EN MONTAGNE</v>
      </c>
      <c r="F774" t="str">
        <f>"35 RUE DU CENTENAIRE"</f>
        <v>35 RUE DU CENTENAIRE</v>
      </c>
      <c r="H774" t="str">
        <f>"07510"</f>
        <v>07510</v>
      </c>
      <c r="I774" t="str">
        <f>"ST CIRGUES EN MONTAGNE"</f>
        <v>ST CIRGUES EN MONTAGNE</v>
      </c>
      <c r="J774" t="str">
        <f>"04 75 38 90 54 "</f>
        <v xml:space="preserve">04 75 38 90 54 </v>
      </c>
      <c r="L774" s="1">
        <v>44322</v>
      </c>
      <c r="M774" t="str">
        <f t="shared" si="126"/>
        <v>124</v>
      </c>
      <c r="N774" t="str">
        <f t="shared" si="127"/>
        <v>Centre de Santé</v>
      </c>
      <c r="O774" t="str">
        <f>"03"</f>
        <v>03</v>
      </c>
      <c r="P774" t="str">
        <f>"Commune"</f>
        <v>Commune</v>
      </c>
      <c r="Q774" t="str">
        <f t="shared" si="128"/>
        <v>36</v>
      </c>
      <c r="R774" t="str">
        <f t="shared" si="129"/>
        <v>Tarifs conventionnels assurance maladie</v>
      </c>
      <c r="U774" t="str">
        <f>"070008305"</f>
        <v>070008305</v>
      </c>
    </row>
    <row r="775" spans="1:21" x14ac:dyDescent="0.3">
      <c r="A775" t="str">
        <f>"130051576"</f>
        <v>130051576</v>
      </c>
      <c r="B775" t="str">
        <f>"889 219 820 00012"</f>
        <v>889 219 820 00012</v>
      </c>
      <c r="D775" t="str">
        <f>"CDS ALLODENT LA VISTE"</f>
        <v>CDS ALLODENT LA VISTE</v>
      </c>
      <c r="F775" t="str">
        <f>"126 AVENUE DE LA VISTE"</f>
        <v>126 AVENUE DE LA VISTE</v>
      </c>
      <c r="G775" t="str">
        <f>"RES LOU VISTA"</f>
        <v>RES LOU VISTA</v>
      </c>
      <c r="H775" t="str">
        <f>"13015"</f>
        <v>13015</v>
      </c>
      <c r="I775" t="str">
        <f>"MARSEILLE"</f>
        <v>MARSEILLE</v>
      </c>
      <c r="J775" t="str">
        <f>"06 14 87 21 42 "</f>
        <v xml:space="preserve">06 14 87 21 42 </v>
      </c>
      <c r="L775" s="1">
        <v>44322</v>
      </c>
      <c r="M775" t="str">
        <f t="shared" si="126"/>
        <v>124</v>
      </c>
      <c r="N775" t="str">
        <f t="shared" si="127"/>
        <v>Centre de Santé</v>
      </c>
      <c r="O775" t="str">
        <f>"61"</f>
        <v>61</v>
      </c>
      <c r="P775" t="str">
        <f>"Association Loi 1901 Reconnue d'Utilité Publique"</f>
        <v>Association Loi 1901 Reconnue d'Utilité Publique</v>
      </c>
      <c r="Q775" t="str">
        <f t="shared" si="128"/>
        <v>36</v>
      </c>
      <c r="R775" t="str">
        <f t="shared" si="129"/>
        <v>Tarifs conventionnels assurance maladie</v>
      </c>
      <c r="U775" t="str">
        <f>"130051584"</f>
        <v>130051584</v>
      </c>
    </row>
    <row r="776" spans="1:21" x14ac:dyDescent="0.3">
      <c r="A776" t="str">
        <f>"780027975"</f>
        <v>780027975</v>
      </c>
      <c r="B776" t="str">
        <f>"884 267 584 00016"</f>
        <v>884 267 584 00016</v>
      </c>
      <c r="D776" t="str">
        <f>"CDS DENTAIRE VERTUO SARTROUVILLE"</f>
        <v>CDS DENTAIRE VERTUO SARTROUVILLE</v>
      </c>
      <c r="E776" t="str">
        <f>"CENTRE COMMERCIAL CARREFOUR"</f>
        <v>CENTRE COMMERCIAL CARREFOUR</v>
      </c>
      <c r="F776" t="str">
        <f>"AVENUE R SCHUMAN VAL NOTRE DAME"</f>
        <v>AVENUE R SCHUMAN VAL NOTRE DAME</v>
      </c>
      <c r="H776" t="str">
        <f>"78500"</f>
        <v>78500</v>
      </c>
      <c r="I776" t="str">
        <f>"SARTROUVILLE"</f>
        <v>SARTROUVILLE</v>
      </c>
      <c r="J776" t="str">
        <f>"06 79 84 20 31 "</f>
        <v xml:space="preserve">06 79 84 20 31 </v>
      </c>
      <c r="L776" s="1">
        <v>44321</v>
      </c>
      <c r="M776" t="str">
        <f t="shared" si="126"/>
        <v>124</v>
      </c>
      <c r="N776" t="str">
        <f t="shared" si="127"/>
        <v>Centre de Santé</v>
      </c>
      <c r="O776" t="str">
        <f>"60"</f>
        <v>60</v>
      </c>
      <c r="P776" t="str">
        <f>"Association Loi 1901 non Reconnue d'Utilité Publique"</f>
        <v>Association Loi 1901 non Reconnue d'Utilité Publique</v>
      </c>
      <c r="Q776" t="str">
        <f t="shared" si="128"/>
        <v>36</v>
      </c>
      <c r="R776" t="str">
        <f t="shared" si="129"/>
        <v>Tarifs conventionnels assurance maladie</v>
      </c>
      <c r="U776" t="str">
        <f>"780027967"</f>
        <v>780027967</v>
      </c>
    </row>
    <row r="777" spans="1:21" x14ac:dyDescent="0.3">
      <c r="A777" t="str">
        <f>"920037314"</f>
        <v>920037314</v>
      </c>
      <c r="B777" t="str">
        <f>"890 087 463 00018"</f>
        <v>890 087 463 00018</v>
      </c>
      <c r="D777" t="str">
        <f>"CDS MEDICAL ET OPHTALMOLOGIE GAMBETTA"</f>
        <v>CDS MEDICAL ET OPHTALMOLOGIE GAMBETTA</v>
      </c>
      <c r="F777" t="str">
        <f>"86 AVENUE GAMBETTA"</f>
        <v>86 AVENUE GAMBETTA</v>
      </c>
      <c r="H777" t="str">
        <f>"92400"</f>
        <v>92400</v>
      </c>
      <c r="I777" t="str">
        <f>"COURBEVOIE"</f>
        <v>COURBEVOIE</v>
      </c>
      <c r="J777" t="str">
        <f>"01 81 93 70 24 "</f>
        <v xml:space="preserve">01 81 93 70 24 </v>
      </c>
      <c r="L777" s="1">
        <v>44321</v>
      </c>
      <c r="M777" t="str">
        <f t="shared" si="126"/>
        <v>124</v>
      </c>
      <c r="N777" t="str">
        <f t="shared" si="127"/>
        <v>Centre de Santé</v>
      </c>
      <c r="O777" t="str">
        <f>"60"</f>
        <v>60</v>
      </c>
      <c r="P777" t="str">
        <f>"Association Loi 1901 non Reconnue d'Utilité Publique"</f>
        <v>Association Loi 1901 non Reconnue d'Utilité Publique</v>
      </c>
      <c r="Q777" t="str">
        <f t="shared" si="128"/>
        <v>36</v>
      </c>
      <c r="R777" t="str">
        <f t="shared" si="129"/>
        <v>Tarifs conventionnels assurance maladie</v>
      </c>
      <c r="U777" t="str">
        <f>"920037306"</f>
        <v>920037306</v>
      </c>
    </row>
    <row r="778" spans="1:21" x14ac:dyDescent="0.3">
      <c r="A778" t="str">
        <f>"930030028"</f>
        <v>930030028</v>
      </c>
      <c r="B778" t="str">
        <f>"883 575 581 00011"</f>
        <v>883 575 581 00011</v>
      </c>
      <c r="D778" t="str">
        <f>"CDS DE SAINT DENIS"</f>
        <v>CDS DE SAINT DENIS</v>
      </c>
      <c r="F778" t="str">
        <f>"1 RUE GABRIEL PERI"</f>
        <v>1 RUE GABRIEL PERI</v>
      </c>
      <c r="H778" t="str">
        <f>"93200"</f>
        <v>93200</v>
      </c>
      <c r="I778" t="str">
        <f>"ST DENIS"</f>
        <v>ST DENIS</v>
      </c>
      <c r="L778" s="1">
        <v>44321</v>
      </c>
      <c r="M778" t="str">
        <f t="shared" si="126"/>
        <v>124</v>
      </c>
      <c r="N778" t="str">
        <f t="shared" si="127"/>
        <v>Centre de Santé</v>
      </c>
      <c r="O778" t="str">
        <f>"60"</f>
        <v>60</v>
      </c>
      <c r="P778" t="str">
        <f>"Association Loi 1901 non Reconnue d'Utilité Publique"</f>
        <v>Association Loi 1901 non Reconnue d'Utilité Publique</v>
      </c>
      <c r="Q778" t="str">
        <f t="shared" si="128"/>
        <v>36</v>
      </c>
      <c r="R778" t="str">
        <f t="shared" si="129"/>
        <v>Tarifs conventionnels assurance maladie</v>
      </c>
      <c r="U778" t="str">
        <f>"930030010"</f>
        <v>930030010</v>
      </c>
    </row>
    <row r="779" spans="1:21" x14ac:dyDescent="0.3">
      <c r="A779" t="str">
        <f>"970214573"</f>
        <v>970214573</v>
      </c>
      <c r="B779" t="str">
        <f>"884 261 595 00018"</f>
        <v>884 261 595 00018</v>
      </c>
      <c r="D779" t="str">
        <f>"CENTRE DE SANTE OPHTALMOLOGIQUE"</f>
        <v>CENTRE DE SANTE OPHTALMOLOGIQUE</v>
      </c>
      <c r="F779" t="str">
        <f>"7 RUE VICTOR HUGO"</f>
        <v>7 RUE VICTOR HUGO</v>
      </c>
      <c r="H779" t="str">
        <f>"97200"</f>
        <v>97200</v>
      </c>
      <c r="I779" t="str">
        <f>"FORT DE FRANCE"</f>
        <v>FORT DE FRANCE</v>
      </c>
      <c r="J779" t="str">
        <f>"05 96 56 54 31 "</f>
        <v xml:space="preserve">05 96 56 54 31 </v>
      </c>
      <c r="L779" s="1">
        <v>44320</v>
      </c>
      <c r="M779" t="str">
        <f t="shared" si="126"/>
        <v>124</v>
      </c>
      <c r="N779" t="str">
        <f t="shared" si="127"/>
        <v>Centre de Santé</v>
      </c>
      <c r="O779" t="str">
        <f>"60"</f>
        <v>60</v>
      </c>
      <c r="P779" t="str">
        <f>"Association Loi 1901 non Reconnue d'Utilité Publique"</f>
        <v>Association Loi 1901 non Reconnue d'Utilité Publique</v>
      </c>
      <c r="Q779" t="str">
        <f t="shared" si="128"/>
        <v>36</v>
      </c>
      <c r="R779" t="str">
        <f t="shared" si="129"/>
        <v>Tarifs conventionnels assurance maladie</v>
      </c>
      <c r="U779" t="str">
        <f>"970214565"</f>
        <v>970214565</v>
      </c>
    </row>
    <row r="780" spans="1:21" x14ac:dyDescent="0.3">
      <c r="A780" t="str">
        <f>"140033143"</f>
        <v>140033143</v>
      </c>
      <c r="B780" t="str">
        <f>"211 403 662 00011"</f>
        <v>211 403 662 00011</v>
      </c>
      <c r="D780" t="str">
        <f>"CENTRE DE SANTÉ DOCTEUR PAUL DUBOIS"</f>
        <v>CENTRE DE SANTÉ DOCTEUR PAUL DUBOIS</v>
      </c>
      <c r="E780" t="str">
        <f>"ESPACE VICTOR HUGO"</f>
        <v>ESPACE VICTOR HUGO</v>
      </c>
      <c r="F780" t="str">
        <f>""</f>
        <v/>
      </c>
      <c r="H780" t="str">
        <f>"14100"</f>
        <v>14100</v>
      </c>
      <c r="I780" t="str">
        <f>"LISIEUX"</f>
        <v>LISIEUX</v>
      </c>
      <c r="L780" s="1">
        <v>44319</v>
      </c>
      <c r="M780" t="str">
        <f t="shared" si="126"/>
        <v>124</v>
      </c>
      <c r="N780" t="str">
        <f t="shared" si="127"/>
        <v>Centre de Santé</v>
      </c>
      <c r="O780" t="str">
        <f>"03"</f>
        <v>03</v>
      </c>
      <c r="P780" t="str">
        <f>"Commune"</f>
        <v>Commune</v>
      </c>
      <c r="Q780" t="str">
        <f t="shared" si="128"/>
        <v>36</v>
      </c>
      <c r="R780" t="str">
        <f t="shared" si="129"/>
        <v>Tarifs conventionnels assurance maladie</v>
      </c>
      <c r="U780" t="str">
        <f>"140031352"</f>
        <v>140031352</v>
      </c>
    </row>
    <row r="781" spans="1:21" x14ac:dyDescent="0.3">
      <c r="A781" t="str">
        <f>"570029793"</f>
        <v>570029793</v>
      </c>
      <c r="B781" t="str">
        <f>"888 589 504 00040"</f>
        <v>888 589 504 00040</v>
      </c>
      <c r="D781" t="str">
        <f>"CENTRE OPHTALMOLOGIQUE CARE VISION"</f>
        <v>CENTRE OPHTALMOLOGIQUE CARE VISION</v>
      </c>
      <c r="F781" t="str">
        <f>"19 RUE DES MESSAGERIES"</f>
        <v>19 RUE DES MESSAGERIES</v>
      </c>
      <c r="G781" t="str">
        <f>"A"</f>
        <v>A</v>
      </c>
      <c r="H781" t="str">
        <f>"57000"</f>
        <v>57000</v>
      </c>
      <c r="I781" t="str">
        <f>"METZ"</f>
        <v>METZ</v>
      </c>
      <c r="J781" t="str">
        <f>"03 55 33 55 55 "</f>
        <v xml:space="preserve">03 55 33 55 55 </v>
      </c>
      <c r="L781" s="1">
        <v>44319</v>
      </c>
      <c r="M781" t="str">
        <f t="shared" si="126"/>
        <v>124</v>
      </c>
      <c r="N781" t="str">
        <f t="shared" si="127"/>
        <v>Centre de Santé</v>
      </c>
      <c r="O781" t="str">
        <f>"61"</f>
        <v>61</v>
      </c>
      <c r="P781" t="str">
        <f>"Association Loi 1901 Reconnue d'Utilité Publique"</f>
        <v>Association Loi 1901 Reconnue d'Utilité Publique</v>
      </c>
      <c r="Q781" t="str">
        <f t="shared" si="128"/>
        <v>36</v>
      </c>
      <c r="R781" t="str">
        <f t="shared" si="129"/>
        <v>Tarifs conventionnels assurance maladie</v>
      </c>
      <c r="U781" t="str">
        <f>"570029785"</f>
        <v>570029785</v>
      </c>
    </row>
    <row r="782" spans="1:21" x14ac:dyDescent="0.3">
      <c r="A782" t="str">
        <f>"940027204"</f>
        <v>940027204</v>
      </c>
      <c r="B782" t="str">
        <f>"219 400 546 00269"</f>
        <v>219 400 546 00269</v>
      </c>
      <c r="D782" t="str">
        <f>"CDS MUNICIPAL D ORLY"</f>
        <v>CDS MUNICIPAL D ORLY</v>
      </c>
      <c r="F782" t="str">
        <f>"3 RUE DU DOCTEUR CALMETTE"</f>
        <v>3 RUE DU DOCTEUR CALMETTE</v>
      </c>
      <c r="H782" t="str">
        <f>"94310"</f>
        <v>94310</v>
      </c>
      <c r="I782" t="str">
        <f>"ORLY"</f>
        <v>ORLY</v>
      </c>
      <c r="J782" t="str">
        <f>"01 48 90 24 00 "</f>
        <v xml:space="preserve">01 48 90 24 00 </v>
      </c>
      <c r="L782" s="1">
        <v>44319</v>
      </c>
      <c r="M782" t="str">
        <f t="shared" si="126"/>
        <v>124</v>
      </c>
      <c r="N782" t="str">
        <f t="shared" si="127"/>
        <v>Centre de Santé</v>
      </c>
      <c r="O782" t="str">
        <f>"03"</f>
        <v>03</v>
      </c>
      <c r="P782" t="str">
        <f>"Commune"</f>
        <v>Commune</v>
      </c>
      <c r="Q782" t="str">
        <f t="shared" si="128"/>
        <v>36</v>
      </c>
      <c r="R782" t="str">
        <f t="shared" si="129"/>
        <v>Tarifs conventionnels assurance maladie</v>
      </c>
      <c r="U782" t="str">
        <f>"940790249"</f>
        <v>940790249</v>
      </c>
    </row>
    <row r="783" spans="1:21" x14ac:dyDescent="0.3">
      <c r="A783" t="str">
        <f>"940027147"</f>
        <v>940027147</v>
      </c>
      <c r="B783" t="str">
        <f>"891 864 290 00012"</f>
        <v>891 864 290 00012</v>
      </c>
      <c r="D783" t="str">
        <f>"CDS 4SANTE"</f>
        <v>CDS 4SANTE</v>
      </c>
      <c r="F783" t="str">
        <f>"22 AVENUE CARNOT"</f>
        <v>22 AVENUE CARNOT</v>
      </c>
      <c r="H783" t="str">
        <f>"94190"</f>
        <v>94190</v>
      </c>
      <c r="I783" t="str">
        <f>"VILLENEUVE ST GEORGES"</f>
        <v>VILLENEUVE ST GEORGES</v>
      </c>
      <c r="L783" s="1">
        <v>44318</v>
      </c>
      <c r="M783" t="str">
        <f t="shared" si="126"/>
        <v>124</v>
      </c>
      <c r="N783" t="str">
        <f t="shared" si="127"/>
        <v>Centre de Santé</v>
      </c>
      <c r="O783" t="str">
        <f>"60"</f>
        <v>60</v>
      </c>
      <c r="P783" t="str">
        <f>"Association Loi 1901 non Reconnue d'Utilité Publique"</f>
        <v>Association Loi 1901 non Reconnue d'Utilité Publique</v>
      </c>
      <c r="Q783" t="str">
        <f t="shared" si="128"/>
        <v>36</v>
      </c>
      <c r="R783" t="str">
        <f t="shared" si="129"/>
        <v>Tarifs conventionnels assurance maladie</v>
      </c>
      <c r="U783" t="str">
        <f>"950045641"</f>
        <v>950045641</v>
      </c>
    </row>
    <row r="784" spans="1:21" x14ac:dyDescent="0.3">
      <c r="A784" t="str">
        <f>"620035568"</f>
        <v>620035568</v>
      </c>
      <c r="B784" t="str">
        <f>"775 685 316 00017"</f>
        <v>775 685 316 00017</v>
      </c>
      <c r="D784" t="str">
        <f>"CENTRE DE SANTE FILIERIS"</f>
        <v>CENTRE DE SANTE FILIERIS</v>
      </c>
      <c r="F784" t="str">
        <f>"3 RUE DE FICHEUX"</f>
        <v>3 RUE DE FICHEUX</v>
      </c>
      <c r="H784" t="str">
        <f>"62217"</f>
        <v>62217</v>
      </c>
      <c r="I784" t="str">
        <f>"WAILLY"</f>
        <v>WAILLY</v>
      </c>
      <c r="J784" t="str">
        <f>"03 21 71 49 49 "</f>
        <v xml:space="preserve">03 21 71 49 49 </v>
      </c>
      <c r="L784" s="1">
        <v>44317</v>
      </c>
      <c r="M784" t="str">
        <f t="shared" si="126"/>
        <v>124</v>
      </c>
      <c r="N784" t="str">
        <f t="shared" si="127"/>
        <v>Centre de Santé</v>
      </c>
      <c r="O784" t="str">
        <f>"41"</f>
        <v>41</v>
      </c>
      <c r="P784" t="str">
        <f>"Régime Spécial de Sécurité Sociale"</f>
        <v>Régime Spécial de Sécurité Sociale</v>
      </c>
      <c r="Q784" t="str">
        <f t="shared" si="128"/>
        <v>36</v>
      </c>
      <c r="R784" t="str">
        <f t="shared" si="129"/>
        <v>Tarifs conventionnels assurance maladie</v>
      </c>
      <c r="U784" t="str">
        <f>"620035550"</f>
        <v>620035550</v>
      </c>
    </row>
    <row r="785" spans="1:21" x14ac:dyDescent="0.3">
      <c r="A785" t="str">
        <f>"770023844"</f>
        <v>770023844</v>
      </c>
      <c r="B785" t="str">
        <f>"891 053 720 00019"</f>
        <v>891 053 720 00019</v>
      </c>
      <c r="D785" t="str">
        <f>"CDS MEDICO DENTAIRE DE LA MAIRIE"</f>
        <v>CDS MEDICO DENTAIRE DE LA MAIRIE</v>
      </c>
      <c r="F785" t="str">
        <f>"27 RUE SAINT ASPAIS"</f>
        <v>27 RUE SAINT ASPAIS</v>
      </c>
      <c r="H785" t="str">
        <f>"77000"</f>
        <v>77000</v>
      </c>
      <c r="I785" t="str">
        <f>"MELUN"</f>
        <v>MELUN</v>
      </c>
      <c r="J785" t="str">
        <f>"06 64 39 75 09 "</f>
        <v xml:space="preserve">06 64 39 75 09 </v>
      </c>
      <c r="L785" s="1">
        <v>44317</v>
      </c>
      <c r="M785" t="str">
        <f t="shared" si="126"/>
        <v>124</v>
      </c>
      <c r="N785" t="str">
        <f t="shared" si="127"/>
        <v>Centre de Santé</v>
      </c>
      <c r="O785" t="str">
        <f>"60"</f>
        <v>60</v>
      </c>
      <c r="P785" t="str">
        <f>"Association Loi 1901 non Reconnue d'Utilité Publique"</f>
        <v>Association Loi 1901 non Reconnue d'Utilité Publique</v>
      </c>
      <c r="Q785" t="str">
        <f t="shared" si="128"/>
        <v>36</v>
      </c>
      <c r="R785" t="str">
        <f t="shared" si="129"/>
        <v>Tarifs conventionnels assurance maladie</v>
      </c>
      <c r="U785" t="str">
        <f>"770023836"</f>
        <v>770023836</v>
      </c>
    </row>
    <row r="786" spans="1:21" x14ac:dyDescent="0.3">
      <c r="A786" t="str">
        <f>"690050000"</f>
        <v>690050000</v>
      </c>
      <c r="B786" t="str">
        <f>"890 841 455 00011"</f>
        <v>890 841 455 00011</v>
      </c>
      <c r="D786" t="str">
        <f>"CENTRE DE SANTE ECHOGRAPHIE"</f>
        <v>CENTRE DE SANTE ECHOGRAPHIE</v>
      </c>
      <c r="F786" t="str">
        <f>"305 RUE GABRIEL VOISIN"</f>
        <v>305 RUE GABRIEL VOISIN</v>
      </c>
      <c r="H786" t="str">
        <f>"69400"</f>
        <v>69400</v>
      </c>
      <c r="I786" t="str">
        <f>"VILLEFRANCHE SUR SAONE"</f>
        <v>VILLEFRANCHE SUR SAONE</v>
      </c>
      <c r="L786" s="1">
        <v>44314</v>
      </c>
      <c r="M786" t="str">
        <f t="shared" si="126"/>
        <v>124</v>
      </c>
      <c r="N786" t="str">
        <f t="shared" si="127"/>
        <v>Centre de Santé</v>
      </c>
      <c r="O786" t="str">
        <f>"60"</f>
        <v>60</v>
      </c>
      <c r="P786" t="str">
        <f>"Association Loi 1901 non Reconnue d'Utilité Publique"</f>
        <v>Association Loi 1901 non Reconnue d'Utilité Publique</v>
      </c>
      <c r="Q786" t="str">
        <f t="shared" si="128"/>
        <v>36</v>
      </c>
      <c r="R786" t="str">
        <f t="shared" si="129"/>
        <v>Tarifs conventionnels assurance maladie</v>
      </c>
      <c r="U786" t="str">
        <f>"690049994"</f>
        <v>690049994</v>
      </c>
    </row>
    <row r="787" spans="1:21" x14ac:dyDescent="0.3">
      <c r="A787" t="str">
        <f>"330061649"</f>
        <v>330061649</v>
      </c>
      <c r="B787" t="str">
        <f>"830 073 276 00230"</f>
        <v>830 073 276 00230</v>
      </c>
      <c r="D787" t="str">
        <f>"CDS DENTAIRE FONDAUDEGE"</f>
        <v>CDS DENTAIRE FONDAUDEGE</v>
      </c>
      <c r="F787" t="str">
        <f>"128 RUE FONDAUDEGE"</f>
        <v>128 RUE FONDAUDEGE</v>
      </c>
      <c r="H787" t="str">
        <f>"33000"</f>
        <v>33000</v>
      </c>
      <c r="I787" t="str">
        <f>"BORDEAUX"</f>
        <v>BORDEAUX</v>
      </c>
      <c r="J787" t="str">
        <f>"01 85 11 10 11 "</f>
        <v xml:space="preserve">01 85 11 10 11 </v>
      </c>
      <c r="L787" s="1">
        <v>44312</v>
      </c>
      <c r="M787" t="str">
        <f t="shared" si="126"/>
        <v>124</v>
      </c>
      <c r="N787" t="str">
        <f t="shared" si="127"/>
        <v>Centre de Santé</v>
      </c>
      <c r="O787" t="str">
        <f>"60"</f>
        <v>60</v>
      </c>
      <c r="P787" t="str">
        <f>"Association Loi 1901 non Reconnue d'Utilité Publique"</f>
        <v>Association Loi 1901 non Reconnue d'Utilité Publique</v>
      </c>
      <c r="Q787" t="str">
        <f t="shared" si="128"/>
        <v>36</v>
      </c>
      <c r="R787" t="str">
        <f t="shared" si="129"/>
        <v>Tarifs conventionnels assurance maladie</v>
      </c>
      <c r="U787" t="str">
        <f>"750060345"</f>
        <v>750060345</v>
      </c>
    </row>
    <row r="788" spans="1:21" x14ac:dyDescent="0.3">
      <c r="A788" t="str">
        <f>"370015679"</f>
        <v>370015679</v>
      </c>
      <c r="B788" t="str">
        <f>"130 026 792 00056"</f>
        <v>130 026 792 00056</v>
      </c>
      <c r="D788" t="str">
        <f>"CENTRE DE SANTÉ TOURS RIVES DE CHER"</f>
        <v>CENTRE DE SANTÉ TOURS RIVES DE CHER</v>
      </c>
      <c r="F788" t="str">
        <f>"PLACE NICOLAS POUSSIN"</f>
        <v>PLACE NICOLAS POUSSIN</v>
      </c>
      <c r="H788" t="str">
        <f>"37000"</f>
        <v>37000</v>
      </c>
      <c r="I788" t="str">
        <f>"TOURS"</f>
        <v>TOURS</v>
      </c>
      <c r="J788" t="str">
        <f>"02 47 64 24 32 "</f>
        <v xml:space="preserve">02 47 64 24 32 </v>
      </c>
      <c r="L788" s="1">
        <v>44308</v>
      </c>
      <c r="M788" t="str">
        <f t="shared" si="126"/>
        <v>124</v>
      </c>
      <c r="N788" t="str">
        <f t="shared" si="127"/>
        <v>Centre de Santé</v>
      </c>
      <c r="O788" t="str">
        <f>"28"</f>
        <v>28</v>
      </c>
      <c r="P788" t="str">
        <f>"Groupement d'Intérêt Public (G.I.P.)"</f>
        <v>Groupement d'Intérêt Public (G.I.P.)</v>
      </c>
      <c r="Q788" t="str">
        <f t="shared" si="128"/>
        <v>36</v>
      </c>
      <c r="R788" t="str">
        <f t="shared" si="129"/>
        <v>Tarifs conventionnels assurance maladie</v>
      </c>
      <c r="U788" t="str">
        <f>"450022801"</f>
        <v>450022801</v>
      </c>
    </row>
    <row r="789" spans="1:21" x14ac:dyDescent="0.3">
      <c r="A789" t="str">
        <f>"690049960"</f>
        <v>690049960</v>
      </c>
      <c r="B789" t="str">
        <f>"892 599 440 00021"</f>
        <v>892 599 440 00021</v>
      </c>
      <c r="D789" t="str">
        <f>"CENTRE DE SANTE DENTAIRE LABELIA LYON8"</f>
        <v>CENTRE DE SANTE DENTAIRE LABELIA LYON8</v>
      </c>
      <c r="F789" t="str">
        <f>"52 RUE SAINT GERVAIS"</f>
        <v>52 RUE SAINT GERVAIS</v>
      </c>
      <c r="H789" t="str">
        <f>"69008"</f>
        <v>69008</v>
      </c>
      <c r="I789" t="str">
        <f>"LYON"</f>
        <v>LYON</v>
      </c>
      <c r="L789" s="1">
        <v>44308</v>
      </c>
      <c r="M789" t="str">
        <f t="shared" si="126"/>
        <v>124</v>
      </c>
      <c r="N789" t="str">
        <f t="shared" si="127"/>
        <v>Centre de Santé</v>
      </c>
      <c r="O789" t="str">
        <f>"60"</f>
        <v>60</v>
      </c>
      <c r="P789" t="str">
        <f>"Association Loi 1901 non Reconnue d'Utilité Publique"</f>
        <v>Association Loi 1901 non Reconnue d'Utilité Publique</v>
      </c>
      <c r="Q789" t="str">
        <f t="shared" si="128"/>
        <v>36</v>
      </c>
      <c r="R789" t="str">
        <f t="shared" si="129"/>
        <v>Tarifs conventionnels assurance maladie</v>
      </c>
      <c r="U789" t="str">
        <f>"690049952"</f>
        <v>690049952</v>
      </c>
    </row>
    <row r="790" spans="1:21" x14ac:dyDescent="0.3">
      <c r="A790" t="str">
        <f>"410010904"</f>
        <v>410010904</v>
      </c>
      <c r="B790" t="str">
        <f>"130 026 792 00049"</f>
        <v>130 026 792 00049</v>
      </c>
      <c r="D790" t="str">
        <f>"CENTRE DE SANTÉ TERRES DU VAL DE LOIRE"</f>
        <v>CENTRE DE SANTÉ TERRES DU VAL DE LOIRE</v>
      </c>
      <c r="F790" t="str">
        <f>"5 AVENUE JEAN MOULIN"</f>
        <v>5 AVENUE JEAN MOULIN</v>
      </c>
      <c r="H790" t="str">
        <f>"41240"</f>
        <v>41240</v>
      </c>
      <c r="I790" t="str">
        <f>"BEAUCE LA ROMAINE"</f>
        <v>BEAUCE LA ROMAINE</v>
      </c>
      <c r="J790" t="str">
        <f>"02 58 33 00 05 "</f>
        <v xml:space="preserve">02 58 33 00 05 </v>
      </c>
      <c r="L790" s="1">
        <v>44306</v>
      </c>
      <c r="M790" t="str">
        <f t="shared" si="126"/>
        <v>124</v>
      </c>
      <c r="N790" t="str">
        <f t="shared" si="127"/>
        <v>Centre de Santé</v>
      </c>
      <c r="O790" t="str">
        <f>"28"</f>
        <v>28</v>
      </c>
      <c r="P790" t="str">
        <f>"Groupement d'Intérêt Public (G.I.P.)"</f>
        <v>Groupement d'Intérêt Public (G.I.P.)</v>
      </c>
      <c r="Q790" t="str">
        <f t="shared" si="128"/>
        <v>36</v>
      </c>
      <c r="R790" t="str">
        <f t="shared" si="129"/>
        <v>Tarifs conventionnels assurance maladie</v>
      </c>
      <c r="U790" t="str">
        <f>"450022801"</f>
        <v>450022801</v>
      </c>
    </row>
    <row r="791" spans="1:21" x14ac:dyDescent="0.3">
      <c r="A791" t="str">
        <f>"590065710"</f>
        <v>590065710</v>
      </c>
      <c r="B791" t="str">
        <f>"853 831 212 00016"</f>
        <v>853 831 212 00016</v>
      </c>
      <c r="D791" t="str">
        <f>"CENTRE DE SANTE LILLE MASSENA"</f>
        <v>CENTRE DE SANTE LILLE MASSENA</v>
      </c>
      <c r="F791" t="str">
        <f>"83 RUE MASSENA"</f>
        <v>83 RUE MASSENA</v>
      </c>
      <c r="H791" t="str">
        <f>"59000"</f>
        <v>59000</v>
      </c>
      <c r="I791" t="str">
        <f>"LILLE"</f>
        <v>LILLE</v>
      </c>
      <c r="J791" t="str">
        <f>"03 74 28 19 85 "</f>
        <v xml:space="preserve">03 74 28 19 85 </v>
      </c>
      <c r="L791" s="1">
        <v>44306</v>
      </c>
      <c r="M791" t="str">
        <f t="shared" si="126"/>
        <v>124</v>
      </c>
      <c r="N791" t="str">
        <f t="shared" si="127"/>
        <v>Centre de Santé</v>
      </c>
      <c r="O791" t="str">
        <f>"62"</f>
        <v>62</v>
      </c>
      <c r="P791" t="str">
        <f>"Association de Droit Local"</f>
        <v>Association de Droit Local</v>
      </c>
      <c r="Q791" t="str">
        <f t="shared" si="128"/>
        <v>36</v>
      </c>
      <c r="R791" t="str">
        <f t="shared" si="129"/>
        <v>Tarifs conventionnels assurance maladie</v>
      </c>
      <c r="U791" t="str">
        <f>"590065702"</f>
        <v>590065702</v>
      </c>
    </row>
    <row r="792" spans="1:21" x14ac:dyDescent="0.3">
      <c r="A792" t="str">
        <f>"750067332"</f>
        <v>750067332</v>
      </c>
      <c r="B792" t="str">
        <f>"895 186 344 00019"</f>
        <v>895 186 344 00019</v>
      </c>
      <c r="D792" t="str">
        <f>"CDS AQODI PARIS JAURES"</f>
        <v>CDS AQODI PARIS JAURES</v>
      </c>
      <c r="F792" t="str">
        <f>"21 SENTE DES DOREES"</f>
        <v>21 SENTE DES DOREES</v>
      </c>
      <c r="H792" t="str">
        <f>"75019"</f>
        <v>75019</v>
      </c>
      <c r="I792" t="str">
        <f>"PARIS"</f>
        <v>PARIS</v>
      </c>
      <c r="J792" t="str">
        <f>"01 88 24 77 00 "</f>
        <v xml:space="preserve">01 88 24 77 00 </v>
      </c>
      <c r="L792" s="1">
        <v>44305</v>
      </c>
      <c r="M792" t="str">
        <f t="shared" si="126"/>
        <v>124</v>
      </c>
      <c r="N792" t="str">
        <f t="shared" si="127"/>
        <v>Centre de Santé</v>
      </c>
      <c r="O792" t="str">
        <f t="shared" ref="O792:O809" si="130">"60"</f>
        <v>60</v>
      </c>
      <c r="P792" t="str">
        <f t="shared" ref="P792:P809" si="131">"Association Loi 1901 non Reconnue d'Utilité Publique"</f>
        <v>Association Loi 1901 non Reconnue d'Utilité Publique</v>
      </c>
      <c r="Q792" t="str">
        <f t="shared" si="128"/>
        <v>36</v>
      </c>
      <c r="R792" t="str">
        <f t="shared" si="129"/>
        <v>Tarifs conventionnels assurance maladie</v>
      </c>
      <c r="U792" t="str">
        <f>"750067324"</f>
        <v>750067324</v>
      </c>
    </row>
    <row r="793" spans="1:21" x14ac:dyDescent="0.3">
      <c r="A793" t="str">
        <f>"750067381"</f>
        <v>750067381</v>
      </c>
      <c r="B793" t="str">
        <f>"893 384 321 00012"</f>
        <v>893 384 321 00012</v>
      </c>
      <c r="D793" t="str">
        <f>"CDS OFFICE SANTE"</f>
        <v>CDS OFFICE SANTE</v>
      </c>
      <c r="F793" t="str">
        <f>"100 QUAI DE LA RAPEE"</f>
        <v>100 QUAI DE LA RAPEE</v>
      </c>
      <c r="H793" t="str">
        <f>"75012"</f>
        <v>75012</v>
      </c>
      <c r="I793" t="str">
        <f>"PARIS"</f>
        <v>PARIS</v>
      </c>
      <c r="J793" t="str">
        <f>"01 53 33 85 23 "</f>
        <v xml:space="preserve">01 53 33 85 23 </v>
      </c>
      <c r="L793" s="1">
        <v>44305</v>
      </c>
      <c r="M793" t="str">
        <f t="shared" si="126"/>
        <v>124</v>
      </c>
      <c r="N793" t="str">
        <f t="shared" si="127"/>
        <v>Centre de Santé</v>
      </c>
      <c r="O793" t="str">
        <f t="shared" si="130"/>
        <v>60</v>
      </c>
      <c r="P793" t="str">
        <f t="shared" si="131"/>
        <v>Association Loi 1901 non Reconnue d'Utilité Publique</v>
      </c>
      <c r="Q793" t="str">
        <f t="shared" si="128"/>
        <v>36</v>
      </c>
      <c r="R793" t="str">
        <f t="shared" si="129"/>
        <v>Tarifs conventionnels assurance maladie</v>
      </c>
      <c r="U793" t="str">
        <f>"750067373"</f>
        <v>750067373</v>
      </c>
    </row>
    <row r="794" spans="1:21" x14ac:dyDescent="0.3">
      <c r="A794" t="str">
        <f>"740017967"</f>
        <v>740017967</v>
      </c>
      <c r="B794" t="str">
        <f>"891 504 946 00015"</f>
        <v>891 504 946 00015</v>
      </c>
      <c r="D794" t="str">
        <f>"CENTRE DE SANTE EVIAN OPHTALMOLOGIQUE"</f>
        <v>CENTRE DE SANTE EVIAN OPHTALMOLOGIQUE</v>
      </c>
      <c r="F794" t="str">
        <f>"CENTRE COMMERCIAL SHOP'IN AMPHION"</f>
        <v>CENTRE COMMERCIAL SHOP'IN AMPHION</v>
      </c>
      <c r="G794" t="str">
        <f>"RD 1005"</f>
        <v>RD 1005</v>
      </c>
      <c r="H794" t="str">
        <f>"74500"</f>
        <v>74500</v>
      </c>
      <c r="I794" t="str">
        <f>"PUBLIER"</f>
        <v>PUBLIER</v>
      </c>
      <c r="J794" t="str">
        <f>"04 85 58 02 46 "</f>
        <v xml:space="preserve">04 85 58 02 46 </v>
      </c>
      <c r="L794" s="1">
        <v>44301</v>
      </c>
      <c r="M794" t="str">
        <f t="shared" si="126"/>
        <v>124</v>
      </c>
      <c r="N794" t="str">
        <f t="shared" si="127"/>
        <v>Centre de Santé</v>
      </c>
      <c r="O794" t="str">
        <f t="shared" si="130"/>
        <v>60</v>
      </c>
      <c r="P794" t="str">
        <f t="shared" si="131"/>
        <v>Association Loi 1901 non Reconnue d'Utilité Publique</v>
      </c>
      <c r="Q794" t="str">
        <f t="shared" si="128"/>
        <v>36</v>
      </c>
      <c r="R794" t="str">
        <f t="shared" si="129"/>
        <v>Tarifs conventionnels assurance maladie</v>
      </c>
      <c r="U794" t="str">
        <f>"740017959"</f>
        <v>740017959</v>
      </c>
    </row>
    <row r="795" spans="1:21" x14ac:dyDescent="0.3">
      <c r="A795" t="str">
        <f>"740017983"</f>
        <v>740017983</v>
      </c>
      <c r="B795" t="str">
        <f>"891 475 170 00017"</f>
        <v>891 475 170 00017</v>
      </c>
      <c r="D795" t="str">
        <f>"CENTRE DE SANTE EVIAN DENTAIRE"</f>
        <v>CENTRE DE SANTE EVIAN DENTAIRE</v>
      </c>
      <c r="F795" t="str">
        <f>"CENTRE COMMERCIAL SHOP'IN AMPHION"</f>
        <v>CENTRE COMMERCIAL SHOP'IN AMPHION</v>
      </c>
      <c r="G795" t="str">
        <f>"RD 1005"</f>
        <v>RD 1005</v>
      </c>
      <c r="H795" t="str">
        <f>"74500"</f>
        <v>74500</v>
      </c>
      <c r="I795" t="str">
        <f>"PUBLIER"</f>
        <v>PUBLIER</v>
      </c>
      <c r="J795" t="str">
        <f>"04 85 58 02 45 "</f>
        <v xml:space="preserve">04 85 58 02 45 </v>
      </c>
      <c r="L795" s="1">
        <v>44301</v>
      </c>
      <c r="M795" t="str">
        <f t="shared" si="126"/>
        <v>124</v>
      </c>
      <c r="N795" t="str">
        <f t="shared" si="127"/>
        <v>Centre de Santé</v>
      </c>
      <c r="O795" t="str">
        <f t="shared" si="130"/>
        <v>60</v>
      </c>
      <c r="P795" t="str">
        <f t="shared" si="131"/>
        <v>Association Loi 1901 non Reconnue d'Utilité Publique</v>
      </c>
      <c r="Q795" t="str">
        <f t="shared" si="128"/>
        <v>36</v>
      </c>
      <c r="R795" t="str">
        <f t="shared" si="129"/>
        <v>Tarifs conventionnels assurance maladie</v>
      </c>
      <c r="U795" t="str">
        <f>"740017975"</f>
        <v>740017975</v>
      </c>
    </row>
    <row r="796" spans="1:21" x14ac:dyDescent="0.3">
      <c r="A796" t="str">
        <f>"750066318"</f>
        <v>750066318</v>
      </c>
      <c r="B796" t="str">
        <f>"890 043 847 00015"</f>
        <v>890 043 847 00015</v>
      </c>
      <c r="D796" t="str">
        <f>"CDS DENTAIRE CHAUSSEE D'ANTIN"</f>
        <v>CDS DENTAIRE CHAUSSEE D'ANTIN</v>
      </c>
      <c r="F796" t="str">
        <f>"68 RUE DE LA CHAUSSEE D'ANTIN"</f>
        <v>68 RUE DE LA CHAUSSEE D'ANTIN</v>
      </c>
      <c r="H796" t="str">
        <f>"75009"</f>
        <v>75009</v>
      </c>
      <c r="I796" t="str">
        <f>"PARIS"</f>
        <v>PARIS</v>
      </c>
      <c r="J796" t="str">
        <f>"07 68 81 27 58 "</f>
        <v xml:space="preserve">07 68 81 27 58 </v>
      </c>
      <c r="L796" s="1">
        <v>44301</v>
      </c>
      <c r="M796" t="str">
        <f t="shared" si="126"/>
        <v>124</v>
      </c>
      <c r="N796" t="str">
        <f t="shared" si="127"/>
        <v>Centre de Santé</v>
      </c>
      <c r="O796" t="str">
        <f t="shared" si="130"/>
        <v>60</v>
      </c>
      <c r="P796" t="str">
        <f t="shared" si="131"/>
        <v>Association Loi 1901 non Reconnue d'Utilité Publique</v>
      </c>
      <c r="Q796" t="str">
        <f t="shared" si="128"/>
        <v>36</v>
      </c>
      <c r="R796" t="str">
        <f t="shared" si="129"/>
        <v>Tarifs conventionnels assurance maladie</v>
      </c>
      <c r="U796" t="str">
        <f>"750066300"</f>
        <v>750066300</v>
      </c>
    </row>
    <row r="797" spans="1:21" x14ac:dyDescent="0.3">
      <c r="A797" t="str">
        <f>"750066359"</f>
        <v>750066359</v>
      </c>
      <c r="B797" t="str">
        <f>"889 196 507 00020"</f>
        <v>889 196 507 00020</v>
      </c>
      <c r="D797" t="str">
        <f>"CDS DENTAIRE DENTALLIANCE"</f>
        <v>CDS DENTAIRE DENTALLIANCE</v>
      </c>
      <c r="F797" t="str">
        <f>"1 BOULEVARD VICTOR"</f>
        <v>1 BOULEVARD VICTOR</v>
      </c>
      <c r="H797" t="str">
        <f>"75015"</f>
        <v>75015</v>
      </c>
      <c r="I797" t="str">
        <f>"PARIS"</f>
        <v>PARIS</v>
      </c>
      <c r="J797" t="str">
        <f>"06 12 30 49 16 "</f>
        <v xml:space="preserve">06 12 30 49 16 </v>
      </c>
      <c r="L797" s="1">
        <v>44301</v>
      </c>
      <c r="M797" t="str">
        <f t="shared" si="126"/>
        <v>124</v>
      </c>
      <c r="N797" t="str">
        <f t="shared" si="127"/>
        <v>Centre de Santé</v>
      </c>
      <c r="O797" t="str">
        <f t="shared" si="130"/>
        <v>60</v>
      </c>
      <c r="P797" t="str">
        <f t="shared" si="131"/>
        <v>Association Loi 1901 non Reconnue d'Utilité Publique</v>
      </c>
      <c r="Q797" t="str">
        <f t="shared" si="128"/>
        <v>36</v>
      </c>
      <c r="R797" t="str">
        <f t="shared" si="129"/>
        <v>Tarifs conventionnels assurance maladie</v>
      </c>
      <c r="U797" t="str">
        <f>"750066342"</f>
        <v>750066342</v>
      </c>
    </row>
    <row r="798" spans="1:21" x14ac:dyDescent="0.3">
      <c r="A798" t="str">
        <f>"780028007"</f>
        <v>780028007</v>
      </c>
      <c r="B798" t="str">
        <f>"883 905 184 00023"</f>
        <v>883 905 184 00023</v>
      </c>
      <c r="D798" t="str">
        <f>"CDS DENTAIRE MAISONS LAFFITTE"</f>
        <v>CDS DENTAIRE MAISONS LAFFITTE</v>
      </c>
      <c r="F798" t="str">
        <f>"81 RUE DE PARIS"</f>
        <v>81 RUE DE PARIS</v>
      </c>
      <c r="H798" t="str">
        <f>"78600"</f>
        <v>78600</v>
      </c>
      <c r="I798" t="str">
        <f>"MAISONS LAFFITTE"</f>
        <v>MAISONS LAFFITTE</v>
      </c>
      <c r="J798" t="str">
        <f>"06 28 27 22 83 "</f>
        <v xml:space="preserve">06 28 27 22 83 </v>
      </c>
      <c r="L798" s="1">
        <v>44299</v>
      </c>
      <c r="M798" t="str">
        <f t="shared" si="126"/>
        <v>124</v>
      </c>
      <c r="N798" t="str">
        <f t="shared" si="127"/>
        <v>Centre de Santé</v>
      </c>
      <c r="O798" t="str">
        <f t="shared" si="130"/>
        <v>60</v>
      </c>
      <c r="P798" t="str">
        <f t="shared" si="131"/>
        <v>Association Loi 1901 non Reconnue d'Utilité Publique</v>
      </c>
      <c r="Q798" t="str">
        <f t="shared" si="128"/>
        <v>36</v>
      </c>
      <c r="R798" t="str">
        <f t="shared" si="129"/>
        <v>Tarifs conventionnels assurance maladie</v>
      </c>
      <c r="U798" t="str">
        <f>"780029435"</f>
        <v>780029435</v>
      </c>
    </row>
    <row r="799" spans="1:21" x14ac:dyDescent="0.3">
      <c r="A799" t="str">
        <f>"780028056"</f>
        <v>780028056</v>
      </c>
      <c r="B799" t="str">
        <f>"888 953 510 00029"</f>
        <v>888 953 510 00029</v>
      </c>
      <c r="D799" t="str">
        <f>"CDS GM2A"</f>
        <v>CDS GM2A</v>
      </c>
      <c r="F799" t="str">
        <f>"17 RUE BLAISE PASCAL"</f>
        <v>17 RUE BLAISE PASCAL</v>
      </c>
      <c r="H799" t="str">
        <f>"78390"</f>
        <v>78390</v>
      </c>
      <c r="I799" t="str">
        <f>"BOIS D ARCY"</f>
        <v>BOIS D ARCY</v>
      </c>
      <c r="J799" t="str">
        <f>"01 86 90 63 77 "</f>
        <v xml:space="preserve">01 86 90 63 77 </v>
      </c>
      <c r="L799" s="1">
        <v>44298</v>
      </c>
      <c r="M799" t="str">
        <f t="shared" si="126"/>
        <v>124</v>
      </c>
      <c r="N799" t="str">
        <f t="shared" si="127"/>
        <v>Centre de Santé</v>
      </c>
      <c r="O799" t="str">
        <f t="shared" si="130"/>
        <v>60</v>
      </c>
      <c r="P799" t="str">
        <f t="shared" si="131"/>
        <v>Association Loi 1901 non Reconnue d'Utilité Publique</v>
      </c>
      <c r="Q799" t="str">
        <f t="shared" si="128"/>
        <v>36</v>
      </c>
      <c r="R799" t="str">
        <f t="shared" si="129"/>
        <v>Tarifs conventionnels assurance maladie</v>
      </c>
      <c r="U799" t="str">
        <f>"780028049"</f>
        <v>780028049</v>
      </c>
    </row>
    <row r="800" spans="1:21" x14ac:dyDescent="0.3">
      <c r="A800" t="str">
        <f>"920037173"</f>
        <v>920037173</v>
      </c>
      <c r="B800" t="str">
        <f>"892 869 249 00011"</f>
        <v>892 869 249 00011</v>
      </c>
      <c r="D800" t="str">
        <f>"CDS POLEMED PLUS"</f>
        <v>CDS POLEMED PLUS</v>
      </c>
      <c r="E800" t="str">
        <f>"HOPITAL NORD 92 RDC"</f>
        <v>HOPITAL NORD 92 RDC</v>
      </c>
      <c r="F800" t="str">
        <f>"75 AVENUE DE VERDUN"</f>
        <v>75 AVENUE DE VERDUN</v>
      </c>
      <c r="H800" t="str">
        <f>"92390"</f>
        <v>92390</v>
      </c>
      <c r="I800" t="str">
        <f>"VILLENEUVE LA GARENNE"</f>
        <v>VILLENEUVE LA GARENNE</v>
      </c>
      <c r="J800" t="str">
        <f>"01 47 93 13 13 "</f>
        <v xml:space="preserve">01 47 93 13 13 </v>
      </c>
      <c r="L800" s="1">
        <v>44296</v>
      </c>
      <c r="M800" t="str">
        <f t="shared" si="126"/>
        <v>124</v>
      </c>
      <c r="N800" t="str">
        <f t="shared" si="127"/>
        <v>Centre de Santé</v>
      </c>
      <c r="O800" t="str">
        <f t="shared" si="130"/>
        <v>60</v>
      </c>
      <c r="P800" t="str">
        <f t="shared" si="131"/>
        <v>Association Loi 1901 non Reconnue d'Utilité Publique</v>
      </c>
      <c r="Q800" t="str">
        <f t="shared" si="128"/>
        <v>36</v>
      </c>
      <c r="R800" t="str">
        <f t="shared" si="129"/>
        <v>Tarifs conventionnels assurance maladie</v>
      </c>
      <c r="U800" t="str">
        <f>"920037165"</f>
        <v>920037165</v>
      </c>
    </row>
    <row r="801" spans="1:21" x14ac:dyDescent="0.3">
      <c r="A801" t="str">
        <f>"130051527"</f>
        <v>130051527</v>
      </c>
      <c r="B801" t="str">
        <f>"890 479 520 00011"</f>
        <v>890 479 520 00011</v>
      </c>
      <c r="D801" t="str">
        <f>"CENTRE ACCES VISION CASTELLANE"</f>
        <v>CENTRE ACCES VISION CASTELLANE</v>
      </c>
      <c r="F801" t="str">
        <f>"5 BOULEVARD BAILLE"</f>
        <v>5 BOULEVARD BAILLE</v>
      </c>
      <c r="H801" t="str">
        <f>"13006"</f>
        <v>13006</v>
      </c>
      <c r="I801" t="str">
        <f>"MARSEILLE"</f>
        <v>MARSEILLE</v>
      </c>
      <c r="J801" t="str">
        <f>"06 70 32 21 05 "</f>
        <v xml:space="preserve">06 70 32 21 05 </v>
      </c>
      <c r="L801" s="1">
        <v>44295</v>
      </c>
      <c r="M801" t="str">
        <f t="shared" si="126"/>
        <v>124</v>
      </c>
      <c r="N801" t="str">
        <f t="shared" si="127"/>
        <v>Centre de Santé</v>
      </c>
      <c r="O801" t="str">
        <f t="shared" si="130"/>
        <v>60</v>
      </c>
      <c r="P801" t="str">
        <f t="shared" si="131"/>
        <v>Association Loi 1901 non Reconnue d'Utilité Publique</v>
      </c>
      <c r="Q801" t="str">
        <f t="shared" si="128"/>
        <v>36</v>
      </c>
      <c r="R801" t="str">
        <f t="shared" si="129"/>
        <v>Tarifs conventionnels assurance maladie</v>
      </c>
      <c r="U801" t="str">
        <f>"940027097"</f>
        <v>940027097</v>
      </c>
    </row>
    <row r="802" spans="1:21" x14ac:dyDescent="0.3">
      <c r="A802" t="str">
        <f>"690048962"</f>
        <v>690048962</v>
      </c>
      <c r="B802" t="str">
        <f>"889 219 473 00010"</f>
        <v>889 219 473 00010</v>
      </c>
      <c r="D802" t="str">
        <f>"CENTRE DE SANTE DENTAIRE LUMIERE"</f>
        <v>CENTRE DE SANTE DENTAIRE LUMIERE</v>
      </c>
      <c r="F802" t="str">
        <f>"42 AVENUE DES FRERES LUMIERE"</f>
        <v>42 AVENUE DES FRERES LUMIERE</v>
      </c>
      <c r="H802" t="str">
        <f>"69008"</f>
        <v>69008</v>
      </c>
      <c r="I802" t="str">
        <f>"LYON"</f>
        <v>LYON</v>
      </c>
      <c r="J802" t="str">
        <f>"06 88 40 95 35 "</f>
        <v xml:space="preserve">06 88 40 95 35 </v>
      </c>
      <c r="L802" s="1">
        <v>44292</v>
      </c>
      <c r="M802" t="str">
        <f t="shared" si="126"/>
        <v>124</v>
      </c>
      <c r="N802" t="str">
        <f t="shared" si="127"/>
        <v>Centre de Santé</v>
      </c>
      <c r="O802" t="str">
        <f t="shared" si="130"/>
        <v>60</v>
      </c>
      <c r="P802" t="str">
        <f t="shared" si="131"/>
        <v>Association Loi 1901 non Reconnue d'Utilité Publique</v>
      </c>
      <c r="Q802" t="str">
        <f t="shared" si="128"/>
        <v>36</v>
      </c>
      <c r="R802" t="str">
        <f t="shared" si="129"/>
        <v>Tarifs conventionnels assurance maladie</v>
      </c>
      <c r="U802" t="str">
        <f>"690048954"</f>
        <v>690048954</v>
      </c>
    </row>
    <row r="803" spans="1:21" x14ac:dyDescent="0.3">
      <c r="A803" t="str">
        <f>"510026305"</f>
        <v>510026305</v>
      </c>
      <c r="B803" t="str">
        <f>"890 011 604 00018"</f>
        <v>890 011 604 00018</v>
      </c>
      <c r="D803" t="str">
        <f>"CENTRE MÉDICO DENTAIRE CLAIRMARAIS"</f>
        <v>CENTRE MÉDICO DENTAIRE CLAIRMARAIS</v>
      </c>
      <c r="F803" t="str">
        <f>"8 RUE EDOUARD MIGNOT"</f>
        <v>8 RUE EDOUARD MIGNOT</v>
      </c>
      <c r="H803" t="str">
        <f>"51100"</f>
        <v>51100</v>
      </c>
      <c r="I803" t="str">
        <f>"REIMS"</f>
        <v>REIMS</v>
      </c>
      <c r="J803" t="str">
        <f>"03 26 91 65 66 "</f>
        <v xml:space="preserve">03 26 91 65 66 </v>
      </c>
      <c r="L803" s="1">
        <v>44291</v>
      </c>
      <c r="M803" t="str">
        <f t="shared" si="126"/>
        <v>124</v>
      </c>
      <c r="N803" t="str">
        <f t="shared" si="127"/>
        <v>Centre de Santé</v>
      </c>
      <c r="O803" t="str">
        <f t="shared" si="130"/>
        <v>60</v>
      </c>
      <c r="P803" t="str">
        <f t="shared" si="131"/>
        <v>Association Loi 1901 non Reconnue d'Utilité Publique</v>
      </c>
      <c r="Q803" t="str">
        <f t="shared" ref="Q803:Q834" si="132">"36"</f>
        <v>36</v>
      </c>
      <c r="R803" t="str">
        <f t="shared" ref="R803:R834" si="133">"Tarifs conventionnels assurance maladie"</f>
        <v>Tarifs conventionnels assurance maladie</v>
      </c>
      <c r="U803" t="str">
        <f>"510026297"</f>
        <v>510026297</v>
      </c>
    </row>
    <row r="804" spans="1:21" x14ac:dyDescent="0.3">
      <c r="A804" t="str">
        <f>"750067035"</f>
        <v>750067035</v>
      </c>
      <c r="B804" t="str">
        <f>"892 377 524 00012"</f>
        <v>892 377 524 00012</v>
      </c>
      <c r="D804" t="str">
        <f>"CDS COURCELLES MEDICAL"</f>
        <v>CDS COURCELLES MEDICAL</v>
      </c>
      <c r="F804" t="str">
        <f>"97 RUE JOUFFROY D'ABBANS"</f>
        <v>97 RUE JOUFFROY D'ABBANS</v>
      </c>
      <c r="H804" t="str">
        <f>"75017"</f>
        <v>75017</v>
      </c>
      <c r="I804" t="str">
        <f>"PARIS"</f>
        <v>PARIS</v>
      </c>
      <c r="J804" t="str">
        <f>"01 53 81 41 96 "</f>
        <v xml:space="preserve">01 53 81 41 96 </v>
      </c>
      <c r="L804" s="1">
        <v>44291</v>
      </c>
      <c r="M804" t="str">
        <f t="shared" si="126"/>
        <v>124</v>
      </c>
      <c r="N804" t="str">
        <f t="shared" si="127"/>
        <v>Centre de Santé</v>
      </c>
      <c r="O804" t="str">
        <f t="shared" si="130"/>
        <v>60</v>
      </c>
      <c r="P804" t="str">
        <f t="shared" si="131"/>
        <v>Association Loi 1901 non Reconnue d'Utilité Publique</v>
      </c>
      <c r="Q804" t="str">
        <f t="shared" si="132"/>
        <v>36</v>
      </c>
      <c r="R804" t="str">
        <f t="shared" si="133"/>
        <v>Tarifs conventionnels assurance maladie</v>
      </c>
      <c r="U804" t="str">
        <f>"750067027"</f>
        <v>750067027</v>
      </c>
    </row>
    <row r="805" spans="1:21" x14ac:dyDescent="0.3">
      <c r="A805" t="str">
        <f>"920037272"</f>
        <v>920037272</v>
      </c>
      <c r="B805" t="str">
        <f>"892 332 164 00011"</f>
        <v>892 332 164 00011</v>
      </c>
      <c r="D805" t="str">
        <f>"CDS MEDICO OPHTALMOLOGIQUE ISSY"</f>
        <v>CDS MEDICO OPHTALMOLOGIQUE ISSY</v>
      </c>
      <c r="F805" t="str">
        <f>"16 BOULEVARD GARIBALDI"</f>
        <v>16 BOULEVARD GARIBALDI</v>
      </c>
      <c r="H805" t="str">
        <f>"92130"</f>
        <v>92130</v>
      </c>
      <c r="I805" t="str">
        <f>"ISSY LES MOULINEAUX"</f>
        <v>ISSY LES MOULINEAUX</v>
      </c>
      <c r="J805" t="str">
        <f>"06 99 02 13 71 "</f>
        <v xml:space="preserve">06 99 02 13 71 </v>
      </c>
      <c r="L805" s="1">
        <v>44291</v>
      </c>
      <c r="M805" t="str">
        <f t="shared" si="126"/>
        <v>124</v>
      </c>
      <c r="N805" t="str">
        <f t="shared" si="127"/>
        <v>Centre de Santé</v>
      </c>
      <c r="O805" t="str">
        <f t="shared" si="130"/>
        <v>60</v>
      </c>
      <c r="P805" t="str">
        <f t="shared" si="131"/>
        <v>Association Loi 1901 non Reconnue d'Utilité Publique</v>
      </c>
      <c r="Q805" t="str">
        <f t="shared" si="132"/>
        <v>36</v>
      </c>
      <c r="R805" t="str">
        <f t="shared" si="133"/>
        <v>Tarifs conventionnels assurance maladie</v>
      </c>
      <c r="U805" t="str">
        <f>"920037264"</f>
        <v>920037264</v>
      </c>
    </row>
    <row r="806" spans="1:21" x14ac:dyDescent="0.3">
      <c r="A806" t="str">
        <f>"940027253"</f>
        <v>940027253</v>
      </c>
      <c r="B806" t="str">
        <f>"894 546 423 00019"</f>
        <v>894 546 423 00019</v>
      </c>
      <c r="D806" t="str">
        <f>"CDS ACCES VISION MAISONS ALFORT"</f>
        <v>CDS ACCES VISION MAISONS ALFORT</v>
      </c>
      <c r="F806" t="str">
        <f>"3 AVENUE DU GENERAL LECLERC"</f>
        <v>3 AVENUE DU GENERAL LECLERC</v>
      </c>
      <c r="H806" t="str">
        <f>"94700"</f>
        <v>94700</v>
      </c>
      <c r="I806" t="str">
        <f>"MAISONS ALFORT"</f>
        <v>MAISONS ALFORT</v>
      </c>
      <c r="J806" t="str">
        <f>"06 70 32 21 05 "</f>
        <v xml:space="preserve">06 70 32 21 05 </v>
      </c>
      <c r="L806" s="1">
        <v>44291</v>
      </c>
      <c r="M806" t="str">
        <f t="shared" si="126"/>
        <v>124</v>
      </c>
      <c r="N806" t="str">
        <f t="shared" si="127"/>
        <v>Centre de Santé</v>
      </c>
      <c r="O806" t="str">
        <f t="shared" si="130"/>
        <v>60</v>
      </c>
      <c r="P806" t="str">
        <f t="shared" si="131"/>
        <v>Association Loi 1901 non Reconnue d'Utilité Publique</v>
      </c>
      <c r="Q806" t="str">
        <f t="shared" si="132"/>
        <v>36</v>
      </c>
      <c r="R806" t="str">
        <f t="shared" si="133"/>
        <v>Tarifs conventionnels assurance maladie</v>
      </c>
      <c r="U806" t="str">
        <f>"940027246"</f>
        <v>940027246</v>
      </c>
    </row>
    <row r="807" spans="1:21" x14ac:dyDescent="0.3">
      <c r="A807" t="str">
        <f>"950045682"</f>
        <v>950045682</v>
      </c>
      <c r="B807" t="str">
        <f>"892 287 483 00010"</f>
        <v>892 287 483 00010</v>
      </c>
      <c r="D807" t="str">
        <f>"CDS D OPHTALMOGIE VILLA SAINTVILLE"</f>
        <v>CDS D OPHTALMOGIE VILLA SAINTVILLE</v>
      </c>
      <c r="F807" t="str">
        <f>"75 RUE DE PARIS"</f>
        <v>75 RUE DE PARIS</v>
      </c>
      <c r="H807" t="str">
        <f>"95500"</f>
        <v>95500</v>
      </c>
      <c r="I807" t="str">
        <f>"GONESSE"</f>
        <v>GONESSE</v>
      </c>
      <c r="J807" t="str">
        <f>"06 03 12 97 63 "</f>
        <v xml:space="preserve">06 03 12 97 63 </v>
      </c>
      <c r="L807" s="1">
        <v>44291</v>
      </c>
      <c r="M807" t="str">
        <f t="shared" si="126"/>
        <v>124</v>
      </c>
      <c r="N807" t="str">
        <f t="shared" si="127"/>
        <v>Centre de Santé</v>
      </c>
      <c r="O807" t="str">
        <f t="shared" si="130"/>
        <v>60</v>
      </c>
      <c r="P807" t="str">
        <f t="shared" si="131"/>
        <v>Association Loi 1901 non Reconnue d'Utilité Publique</v>
      </c>
      <c r="Q807" t="str">
        <f t="shared" si="132"/>
        <v>36</v>
      </c>
      <c r="R807" t="str">
        <f t="shared" si="133"/>
        <v>Tarifs conventionnels assurance maladie</v>
      </c>
      <c r="U807" t="str">
        <f>"950045674"</f>
        <v>950045674</v>
      </c>
    </row>
    <row r="808" spans="1:21" x14ac:dyDescent="0.3">
      <c r="A808" t="str">
        <f>"750067100"</f>
        <v>750067100</v>
      </c>
      <c r="B808" t="str">
        <f>"892 474 792 00017"</f>
        <v>892 474 792 00017</v>
      </c>
      <c r="D808" t="str">
        <f>"CDS MEDICAL ET DENTAIRE MONTMARTRE"</f>
        <v>CDS MEDICAL ET DENTAIRE MONTMARTRE</v>
      </c>
      <c r="F808" t="str">
        <f>"158 RUE ORDENER"</f>
        <v>158 RUE ORDENER</v>
      </c>
      <c r="H808" t="str">
        <f>"75018"</f>
        <v>75018</v>
      </c>
      <c r="I808" t="str">
        <f>"PARIS"</f>
        <v>PARIS</v>
      </c>
      <c r="J808" t="str">
        <f>"07 81 29 64 22 "</f>
        <v xml:space="preserve">07 81 29 64 22 </v>
      </c>
      <c r="L808" s="1">
        <v>44288</v>
      </c>
      <c r="M808" t="str">
        <f t="shared" si="126"/>
        <v>124</v>
      </c>
      <c r="N808" t="str">
        <f t="shared" si="127"/>
        <v>Centre de Santé</v>
      </c>
      <c r="O808" t="str">
        <f t="shared" si="130"/>
        <v>60</v>
      </c>
      <c r="P808" t="str">
        <f t="shared" si="131"/>
        <v>Association Loi 1901 non Reconnue d'Utilité Publique</v>
      </c>
      <c r="Q808" t="str">
        <f t="shared" si="132"/>
        <v>36</v>
      </c>
      <c r="R808" t="str">
        <f t="shared" si="133"/>
        <v>Tarifs conventionnels assurance maladie</v>
      </c>
      <c r="U808" t="str">
        <f>"750067092"</f>
        <v>750067092</v>
      </c>
    </row>
    <row r="809" spans="1:21" x14ac:dyDescent="0.3">
      <c r="A809" t="str">
        <f>"770024511"</f>
        <v>770024511</v>
      </c>
      <c r="B809" t="str">
        <f>"890 148 794 00013"</f>
        <v>890 148 794 00013</v>
      </c>
      <c r="D809" t="str">
        <f>"CDS DENTAIRE CLAYE SOUILLY"</f>
        <v>CDS DENTAIRE CLAYE SOUILLY</v>
      </c>
      <c r="F809" t="str">
        <f>"PROMENADE DE CLAYE SOUILLY"</f>
        <v>PROMENADE DE CLAYE SOUILLY</v>
      </c>
      <c r="H809" t="str">
        <f>"77410"</f>
        <v>77410</v>
      </c>
      <c r="I809" t="str">
        <f>"CLAYE SOUILLY"</f>
        <v>CLAYE SOUILLY</v>
      </c>
      <c r="L809" s="1">
        <v>44288</v>
      </c>
      <c r="M809" t="str">
        <f t="shared" si="126"/>
        <v>124</v>
      </c>
      <c r="N809" t="str">
        <f t="shared" si="127"/>
        <v>Centre de Santé</v>
      </c>
      <c r="O809" t="str">
        <f t="shared" si="130"/>
        <v>60</v>
      </c>
      <c r="P809" t="str">
        <f t="shared" si="131"/>
        <v>Association Loi 1901 non Reconnue d'Utilité Publique</v>
      </c>
      <c r="Q809" t="str">
        <f t="shared" si="132"/>
        <v>36</v>
      </c>
      <c r="R809" t="str">
        <f t="shared" si="133"/>
        <v>Tarifs conventionnels assurance maladie</v>
      </c>
      <c r="U809" t="str">
        <f>"770024503"</f>
        <v>770024503</v>
      </c>
    </row>
    <row r="810" spans="1:21" x14ac:dyDescent="0.3">
      <c r="A810" t="str">
        <f>"160017166"</f>
        <v>160017166</v>
      </c>
      <c r="B810" t="str">
        <f>"261 600 340 00242"</f>
        <v>261 600 340 00242</v>
      </c>
      <c r="D810" t="str">
        <f>"CDS CH ANGOULEME"</f>
        <v>CDS CH ANGOULEME</v>
      </c>
      <c r="F810" t="str">
        <f>"ROND POINT DE GIRAC"</f>
        <v>ROND POINT DE GIRAC</v>
      </c>
      <c r="G810" t="str">
        <f>"CS 55015 - SAINT MICHEL"</f>
        <v>CS 55015 - SAINT MICHEL</v>
      </c>
      <c r="H810" t="str">
        <f>"16000"</f>
        <v>16000</v>
      </c>
      <c r="I810" t="str">
        <f>"ANGOULEME"</f>
        <v>ANGOULEME</v>
      </c>
      <c r="J810" t="str">
        <f>"05 45 24 29 29 "</f>
        <v xml:space="preserve">05 45 24 29 29 </v>
      </c>
      <c r="L810" s="1">
        <v>44287</v>
      </c>
      <c r="M810" t="str">
        <f t="shared" si="126"/>
        <v>124</v>
      </c>
      <c r="N810" t="str">
        <f t="shared" si="127"/>
        <v>Centre de Santé</v>
      </c>
      <c r="O810" t="str">
        <f>"13"</f>
        <v>13</v>
      </c>
      <c r="P810" t="str">
        <f>"Etablissement Public Communal d'Hospitalisation"</f>
        <v>Etablissement Public Communal d'Hospitalisation</v>
      </c>
      <c r="Q810" t="str">
        <f t="shared" si="132"/>
        <v>36</v>
      </c>
      <c r="R810" t="str">
        <f t="shared" si="133"/>
        <v>Tarifs conventionnels assurance maladie</v>
      </c>
      <c r="U810" t="str">
        <f>"160000451"</f>
        <v>160000451</v>
      </c>
    </row>
    <row r="811" spans="1:21" x14ac:dyDescent="0.3">
      <c r="A811" t="str">
        <f>"330061946"</f>
        <v>330061946</v>
      </c>
      <c r="B811" t="str">
        <f>"889 587 598 00018"</f>
        <v>889 587 598 00018</v>
      </c>
      <c r="D811" t="str">
        <f>"CDS DENTAIRE CENON"</f>
        <v>CDS DENTAIRE CENON</v>
      </c>
      <c r="F811" t="str">
        <f>"16 RUE DU 8 MAI 1945"</f>
        <v>16 RUE DU 8 MAI 1945</v>
      </c>
      <c r="H811" t="str">
        <f>"33150"</f>
        <v>33150</v>
      </c>
      <c r="I811" t="str">
        <f>"CENON"</f>
        <v>CENON</v>
      </c>
      <c r="L811" s="1">
        <v>44287</v>
      </c>
      <c r="M811" t="str">
        <f t="shared" si="126"/>
        <v>124</v>
      </c>
      <c r="N811" t="str">
        <f t="shared" si="127"/>
        <v>Centre de Santé</v>
      </c>
      <c r="O811" t="str">
        <f>"60"</f>
        <v>60</v>
      </c>
      <c r="P811" t="str">
        <f>"Association Loi 1901 non Reconnue d'Utilité Publique"</f>
        <v>Association Loi 1901 non Reconnue d'Utilité Publique</v>
      </c>
      <c r="Q811" t="str">
        <f t="shared" si="132"/>
        <v>36</v>
      </c>
      <c r="R811" t="str">
        <f t="shared" si="133"/>
        <v>Tarifs conventionnels assurance maladie</v>
      </c>
      <c r="U811" t="str">
        <f>"330061938"</f>
        <v>330061938</v>
      </c>
    </row>
    <row r="812" spans="1:21" x14ac:dyDescent="0.3">
      <c r="A812" t="str">
        <f>"510026321"</f>
        <v>510026321</v>
      </c>
      <c r="B812" t="str">
        <f>"780 349 833 00670"</f>
        <v>780 349 833 00670</v>
      </c>
      <c r="D812" t="str">
        <f>"CDS POLYVALENT MUTUALISTE STEMENEHOULD"</f>
        <v>CDS POLYVALENT MUTUALISTE STEMENEHOULD</v>
      </c>
      <c r="F812" t="str">
        <f>"ALLEE DE LA COUR D'HONNEUR"</f>
        <v>ALLEE DE LA COUR D'HONNEUR</v>
      </c>
      <c r="H812" t="str">
        <f>"51800"</f>
        <v>51800</v>
      </c>
      <c r="I812" t="str">
        <f>"STE MENEHOULD"</f>
        <v>STE MENEHOULD</v>
      </c>
      <c r="J812" t="str">
        <f>"03 10 02 99 91 "</f>
        <v xml:space="preserve">03 10 02 99 91 </v>
      </c>
      <c r="L812" s="1">
        <v>44287</v>
      </c>
      <c r="M812" t="str">
        <f t="shared" si="126"/>
        <v>124</v>
      </c>
      <c r="N812" t="str">
        <f t="shared" si="127"/>
        <v>Centre de Santé</v>
      </c>
      <c r="O812" t="str">
        <f>"47"</f>
        <v>47</v>
      </c>
      <c r="P812" t="str">
        <f>"Société Mutualiste"</f>
        <v>Société Mutualiste</v>
      </c>
      <c r="Q812" t="str">
        <f t="shared" si="132"/>
        <v>36</v>
      </c>
      <c r="R812" t="str">
        <f t="shared" si="133"/>
        <v>Tarifs conventionnels assurance maladie</v>
      </c>
      <c r="U812" t="str">
        <f>"510024581"</f>
        <v>510024581</v>
      </c>
    </row>
    <row r="813" spans="1:21" x14ac:dyDescent="0.3">
      <c r="A813" t="str">
        <f>"590065306"</f>
        <v>590065306</v>
      </c>
      <c r="B813" t="str">
        <f>"890 995 103 00029"</f>
        <v>890 995 103 00029</v>
      </c>
      <c r="D813" t="str">
        <f>"CSI GUESNAIN"</f>
        <v>CSI GUESNAIN</v>
      </c>
      <c r="F813" t="str">
        <f>"432 BOULEVARD PASTEUR"</f>
        <v>432 BOULEVARD PASTEUR</v>
      </c>
      <c r="H813" t="str">
        <f>"59287"</f>
        <v>59287</v>
      </c>
      <c r="I813" t="str">
        <f>"GUESNAIN"</f>
        <v>GUESNAIN</v>
      </c>
      <c r="J813" t="str">
        <f>"06 47 52 51 34 "</f>
        <v xml:space="preserve">06 47 52 51 34 </v>
      </c>
      <c r="L813" s="1">
        <v>44287</v>
      </c>
      <c r="M813" t="str">
        <f t="shared" si="126"/>
        <v>124</v>
      </c>
      <c r="N813" t="str">
        <f t="shared" si="127"/>
        <v>Centre de Santé</v>
      </c>
      <c r="O813" t="str">
        <f>"61"</f>
        <v>61</v>
      </c>
      <c r="P813" t="str">
        <f>"Association Loi 1901 Reconnue d'Utilité Publique"</f>
        <v>Association Loi 1901 Reconnue d'Utilité Publique</v>
      </c>
      <c r="Q813" t="str">
        <f t="shared" si="132"/>
        <v>36</v>
      </c>
      <c r="R813" t="str">
        <f t="shared" si="133"/>
        <v>Tarifs conventionnels assurance maladie</v>
      </c>
      <c r="U813" t="str">
        <f>"590065298"</f>
        <v>590065298</v>
      </c>
    </row>
    <row r="814" spans="1:21" x14ac:dyDescent="0.3">
      <c r="A814" t="str">
        <f>"660012287"</f>
        <v>660012287</v>
      </c>
      <c r="B814" t="str">
        <f>"216 600 650 00016"</f>
        <v>216 600 650 00016</v>
      </c>
      <c r="D814" t="str">
        <f>"CENTRE MUNICIPAL DE SANTÉ D'ELNE"</f>
        <v>CENTRE MUNICIPAL DE SANTÉ D'ELNE</v>
      </c>
      <c r="E814" t="str">
        <f>"RESIDENCE LE GALLIEN"</f>
        <v>RESIDENCE LE GALLIEN</v>
      </c>
      <c r="F814" t="str">
        <f>"2 AVENUE NARCISSE PLANAS"</f>
        <v>2 AVENUE NARCISSE PLANAS</v>
      </c>
      <c r="H814" t="str">
        <f>"66200"</f>
        <v>66200</v>
      </c>
      <c r="I814" t="str">
        <f>"ELNE"</f>
        <v>ELNE</v>
      </c>
      <c r="J814" t="str">
        <f>"04 68 22 02 50 "</f>
        <v xml:space="preserve">04 68 22 02 50 </v>
      </c>
      <c r="L814" s="1">
        <v>44287</v>
      </c>
      <c r="M814" t="str">
        <f t="shared" si="126"/>
        <v>124</v>
      </c>
      <c r="N814" t="str">
        <f t="shared" si="127"/>
        <v>Centre de Santé</v>
      </c>
      <c r="O814" t="str">
        <f>"03"</f>
        <v>03</v>
      </c>
      <c r="P814" t="str">
        <f>"Commune"</f>
        <v>Commune</v>
      </c>
      <c r="Q814" t="str">
        <f t="shared" si="132"/>
        <v>36</v>
      </c>
      <c r="R814" t="str">
        <f t="shared" si="133"/>
        <v>Tarifs conventionnels assurance maladie</v>
      </c>
      <c r="U814" t="str">
        <f>"660012279"</f>
        <v>660012279</v>
      </c>
    </row>
    <row r="815" spans="1:21" x14ac:dyDescent="0.3">
      <c r="A815" t="str">
        <f>"750066417"</f>
        <v>750066417</v>
      </c>
      <c r="B815" t="str">
        <f>"841 560 311 00026"</f>
        <v>841 560 311 00026</v>
      </c>
      <c r="D815" t="str">
        <f>"CDS ACCES VISION GRANDS BOULEVARDS"</f>
        <v>CDS ACCES VISION GRANDS BOULEVARDS</v>
      </c>
      <c r="F815" t="str">
        <f>"10 BOULEVARD POISSONNIERE"</f>
        <v>10 BOULEVARD POISSONNIERE</v>
      </c>
      <c r="H815" t="str">
        <f>"75009"</f>
        <v>75009</v>
      </c>
      <c r="I815" t="str">
        <f>"PARIS"</f>
        <v>PARIS</v>
      </c>
      <c r="J815" t="str">
        <f>"01 77 44 40 00 "</f>
        <v xml:space="preserve">01 77 44 40 00 </v>
      </c>
      <c r="L815" s="1">
        <v>44287</v>
      </c>
      <c r="M815" t="str">
        <f t="shared" si="126"/>
        <v>124</v>
      </c>
      <c r="N815" t="str">
        <f t="shared" si="127"/>
        <v>Centre de Santé</v>
      </c>
      <c r="O815" t="str">
        <f t="shared" ref="O815:O822" si="134">"60"</f>
        <v>60</v>
      </c>
      <c r="P815" t="str">
        <f t="shared" ref="P815:P822" si="135">"Association Loi 1901 non Reconnue d'Utilité Publique"</f>
        <v>Association Loi 1901 non Reconnue d'Utilité Publique</v>
      </c>
      <c r="Q815" t="str">
        <f t="shared" si="132"/>
        <v>36</v>
      </c>
      <c r="R815" t="str">
        <f t="shared" si="133"/>
        <v>Tarifs conventionnels assurance maladie</v>
      </c>
      <c r="U815" t="str">
        <f>"940024722"</f>
        <v>940024722</v>
      </c>
    </row>
    <row r="816" spans="1:21" x14ac:dyDescent="0.3">
      <c r="A816" t="str">
        <f>"760038836"</f>
        <v>760038836</v>
      </c>
      <c r="B816" t="str">
        <f>"882 565 641 00025"</f>
        <v>882 565 641 00025</v>
      </c>
      <c r="D816" t="str">
        <f>"CENTRE DENTAIRE SERENITE"</f>
        <v>CENTRE DENTAIRE SERENITE</v>
      </c>
      <c r="F816" t="str">
        <f>"99 RUE AUGUSTIN NORMAND"</f>
        <v>99 RUE AUGUSTIN NORMAND</v>
      </c>
      <c r="H816" t="str">
        <f>"76600"</f>
        <v>76600</v>
      </c>
      <c r="I816" t="str">
        <f>"LE HAVRE"</f>
        <v>LE HAVRE</v>
      </c>
      <c r="J816" t="str">
        <f>"02 59 07 08 15 "</f>
        <v xml:space="preserve">02 59 07 08 15 </v>
      </c>
      <c r="L816" s="1">
        <v>44287</v>
      </c>
      <c r="M816" t="str">
        <f t="shared" si="126"/>
        <v>124</v>
      </c>
      <c r="N816" t="str">
        <f t="shared" si="127"/>
        <v>Centre de Santé</v>
      </c>
      <c r="O816" t="str">
        <f t="shared" si="134"/>
        <v>60</v>
      </c>
      <c r="P816" t="str">
        <f t="shared" si="135"/>
        <v>Association Loi 1901 non Reconnue d'Utilité Publique</v>
      </c>
      <c r="Q816" t="str">
        <f t="shared" si="132"/>
        <v>36</v>
      </c>
      <c r="R816" t="str">
        <f t="shared" si="133"/>
        <v>Tarifs conventionnels assurance maladie</v>
      </c>
      <c r="U816" t="str">
        <f>"310032123"</f>
        <v>310032123</v>
      </c>
    </row>
    <row r="817" spans="1:21" x14ac:dyDescent="0.3">
      <c r="A817" t="str">
        <f>"910024975"</f>
        <v>910024975</v>
      </c>
      <c r="B817" t="str">
        <f>"880 525 316 00019"</f>
        <v>880 525 316 00019</v>
      </c>
      <c r="D817" t="str">
        <f>"CDS MEDICO DENTAIRE SACLAY GRAND PARIS"</f>
        <v>CDS MEDICO DENTAIRE SACLAY GRAND PARIS</v>
      </c>
      <c r="F817" t="str">
        <f>"8 MAIL PIERRE POTIER"</f>
        <v>8 MAIL PIERRE POTIER</v>
      </c>
      <c r="H817" t="str">
        <f>"91190"</f>
        <v>91190</v>
      </c>
      <c r="I817" t="str">
        <f>"GIF SUR YVETTE"</f>
        <v>GIF SUR YVETTE</v>
      </c>
      <c r="L817" s="1">
        <v>44287</v>
      </c>
      <c r="M817" t="str">
        <f t="shared" si="126"/>
        <v>124</v>
      </c>
      <c r="N817" t="str">
        <f t="shared" si="127"/>
        <v>Centre de Santé</v>
      </c>
      <c r="O817" t="str">
        <f t="shared" si="134"/>
        <v>60</v>
      </c>
      <c r="P817" t="str">
        <f t="shared" si="135"/>
        <v>Association Loi 1901 non Reconnue d'Utilité Publique</v>
      </c>
      <c r="Q817" t="str">
        <f t="shared" si="132"/>
        <v>36</v>
      </c>
      <c r="R817" t="str">
        <f t="shared" si="133"/>
        <v>Tarifs conventionnels assurance maladie</v>
      </c>
      <c r="U817" t="str">
        <f>"750065617"</f>
        <v>750065617</v>
      </c>
    </row>
    <row r="818" spans="1:21" x14ac:dyDescent="0.3">
      <c r="A818" t="str">
        <f>"930030408"</f>
        <v>930030408</v>
      </c>
      <c r="B818" t="str">
        <f>"891 583 692 00019"</f>
        <v>891 583 692 00019</v>
      </c>
      <c r="D818" t="str">
        <f>"CDS MEDICAL AUBERVILLIERS"</f>
        <v>CDS MEDICAL AUBERVILLIERS</v>
      </c>
      <c r="F818" t="str">
        <f>"44 RUE DU MOUTIER"</f>
        <v>44 RUE DU MOUTIER</v>
      </c>
      <c r="H818" t="str">
        <f>"93300"</f>
        <v>93300</v>
      </c>
      <c r="I818" t="str">
        <f>"AUBERVILLIERS"</f>
        <v>AUBERVILLIERS</v>
      </c>
      <c r="J818" t="str">
        <f>"01 86 90 65 90 "</f>
        <v xml:space="preserve">01 86 90 65 90 </v>
      </c>
      <c r="L818" s="1">
        <v>44287</v>
      </c>
      <c r="M818" t="str">
        <f t="shared" si="126"/>
        <v>124</v>
      </c>
      <c r="N818" t="str">
        <f t="shared" si="127"/>
        <v>Centre de Santé</v>
      </c>
      <c r="O818" t="str">
        <f t="shared" si="134"/>
        <v>60</v>
      </c>
      <c r="P818" t="str">
        <f t="shared" si="135"/>
        <v>Association Loi 1901 non Reconnue d'Utilité Publique</v>
      </c>
      <c r="Q818" t="str">
        <f t="shared" si="132"/>
        <v>36</v>
      </c>
      <c r="R818" t="str">
        <f t="shared" si="133"/>
        <v>Tarifs conventionnels assurance maladie</v>
      </c>
      <c r="U818" t="str">
        <f>"930030390"</f>
        <v>930030390</v>
      </c>
    </row>
    <row r="819" spans="1:21" x14ac:dyDescent="0.3">
      <c r="A819" t="str">
        <f>"770023927"</f>
        <v>770023927</v>
      </c>
      <c r="B819" t="str">
        <f>"892 116 096 00017"</f>
        <v>892 116 096 00017</v>
      </c>
      <c r="D819" t="str">
        <f>"CDS OPHTALMOGIQUE CHELLES"</f>
        <v>CDS OPHTALMOGIQUE CHELLES</v>
      </c>
      <c r="F819" t="str">
        <f>"18 AVENUE DU MARECHAL FOCH"</f>
        <v>18 AVENUE DU MARECHAL FOCH</v>
      </c>
      <c r="H819" t="str">
        <f>"77500"</f>
        <v>77500</v>
      </c>
      <c r="I819" t="str">
        <f>"CHELLES"</f>
        <v>CHELLES</v>
      </c>
      <c r="J819" t="str">
        <f>"07 60 35 00 62 "</f>
        <v xml:space="preserve">07 60 35 00 62 </v>
      </c>
      <c r="L819" s="1">
        <v>44286</v>
      </c>
      <c r="M819" t="str">
        <f t="shared" si="126"/>
        <v>124</v>
      </c>
      <c r="N819" t="str">
        <f t="shared" si="127"/>
        <v>Centre de Santé</v>
      </c>
      <c r="O819" t="str">
        <f t="shared" si="134"/>
        <v>60</v>
      </c>
      <c r="P819" t="str">
        <f t="shared" si="135"/>
        <v>Association Loi 1901 non Reconnue d'Utilité Publique</v>
      </c>
      <c r="Q819" t="str">
        <f t="shared" si="132"/>
        <v>36</v>
      </c>
      <c r="R819" t="str">
        <f t="shared" si="133"/>
        <v>Tarifs conventionnels assurance maladie</v>
      </c>
      <c r="U819" t="str">
        <f>"770023919"</f>
        <v>770023919</v>
      </c>
    </row>
    <row r="820" spans="1:21" x14ac:dyDescent="0.3">
      <c r="A820" t="str">
        <f>"930030192"</f>
        <v>930030192</v>
      </c>
      <c r="B820" t="str">
        <f>"890 958 366 00019"</f>
        <v>890 958 366 00019</v>
      </c>
      <c r="D820" t="str">
        <f>"CDS MEDICO DENTAIRE ROSNY SOUS BOIS"</f>
        <v>CDS MEDICO DENTAIRE ROSNY SOUS BOIS</v>
      </c>
      <c r="F820" t="str">
        <f>"RUE PHILIBERT HOFFMANN"</f>
        <v>RUE PHILIBERT HOFFMANN</v>
      </c>
      <c r="G820" t="str">
        <f>"CC ROSNY BOIS PERRIER"</f>
        <v>CC ROSNY BOIS PERRIER</v>
      </c>
      <c r="H820" t="str">
        <f>"93110"</f>
        <v>93110</v>
      </c>
      <c r="I820" t="str">
        <f>"ROSNY SOUS BOIS"</f>
        <v>ROSNY SOUS BOIS</v>
      </c>
      <c r="L820" s="1">
        <v>44286</v>
      </c>
      <c r="M820" t="str">
        <f t="shared" si="126"/>
        <v>124</v>
      </c>
      <c r="N820" t="str">
        <f t="shared" si="127"/>
        <v>Centre de Santé</v>
      </c>
      <c r="O820" t="str">
        <f t="shared" si="134"/>
        <v>60</v>
      </c>
      <c r="P820" t="str">
        <f t="shared" si="135"/>
        <v>Association Loi 1901 non Reconnue d'Utilité Publique</v>
      </c>
      <c r="Q820" t="str">
        <f t="shared" si="132"/>
        <v>36</v>
      </c>
      <c r="R820" t="str">
        <f t="shared" si="133"/>
        <v>Tarifs conventionnels assurance maladie</v>
      </c>
      <c r="U820" t="str">
        <f>"930030184"</f>
        <v>930030184</v>
      </c>
    </row>
    <row r="821" spans="1:21" x14ac:dyDescent="0.3">
      <c r="A821" t="str">
        <f>"450022967"</f>
        <v>450022967</v>
      </c>
      <c r="B821" t="str">
        <f>"891 123 200 00018"</f>
        <v>891 123 200 00018</v>
      </c>
      <c r="D821" t="str">
        <f>"CENTRE DE SANTÉ DENTAIRE ORLÉANS"</f>
        <v>CENTRE DE SANTÉ DENTAIRE ORLÉANS</v>
      </c>
      <c r="F821" t="str">
        <f>"47 RUE ROYALE"</f>
        <v>47 RUE ROYALE</v>
      </c>
      <c r="H821" t="str">
        <f>"45000"</f>
        <v>45000</v>
      </c>
      <c r="I821" t="str">
        <f>"ORLEANS"</f>
        <v>ORLEANS</v>
      </c>
      <c r="J821" t="str">
        <f>"06 88 40 95 35 "</f>
        <v xml:space="preserve">06 88 40 95 35 </v>
      </c>
      <c r="L821" s="1">
        <v>44285</v>
      </c>
      <c r="M821" t="str">
        <f t="shared" si="126"/>
        <v>124</v>
      </c>
      <c r="N821" t="str">
        <f t="shared" si="127"/>
        <v>Centre de Santé</v>
      </c>
      <c r="O821" t="str">
        <f t="shared" si="134"/>
        <v>60</v>
      </c>
      <c r="P821" t="str">
        <f t="shared" si="135"/>
        <v>Association Loi 1901 non Reconnue d'Utilité Publique</v>
      </c>
      <c r="Q821" t="str">
        <f t="shared" si="132"/>
        <v>36</v>
      </c>
      <c r="R821" t="str">
        <f t="shared" si="133"/>
        <v>Tarifs conventionnels assurance maladie</v>
      </c>
      <c r="U821" t="str">
        <f>"450022959"</f>
        <v>450022959</v>
      </c>
    </row>
    <row r="822" spans="1:21" x14ac:dyDescent="0.3">
      <c r="A822" t="str">
        <f>"510026107"</f>
        <v>510026107</v>
      </c>
      <c r="B822" t="str">
        <f>"878 308 048 00015"</f>
        <v>878 308 048 00015</v>
      </c>
      <c r="D822" t="str">
        <f>"CENTRE DE SANTE MEDICO DENTAIRE REIMS"</f>
        <v>CENTRE DE SANTE MEDICO DENTAIRE REIMS</v>
      </c>
      <c r="F822" t="str">
        <f>"56 RUE PIERRE TAITTINGER"</f>
        <v>56 RUE PIERRE TAITTINGER</v>
      </c>
      <c r="H822" t="str">
        <f>"51100"</f>
        <v>51100</v>
      </c>
      <c r="I822" t="str">
        <f>"REIMS"</f>
        <v>REIMS</v>
      </c>
      <c r="J822" t="str">
        <f>"03 52 82 96 10 "</f>
        <v xml:space="preserve">03 52 82 96 10 </v>
      </c>
      <c r="L822" s="1">
        <v>44285</v>
      </c>
      <c r="M822" t="str">
        <f t="shared" si="126"/>
        <v>124</v>
      </c>
      <c r="N822" t="str">
        <f t="shared" si="127"/>
        <v>Centre de Santé</v>
      </c>
      <c r="O822" t="str">
        <f t="shared" si="134"/>
        <v>60</v>
      </c>
      <c r="P822" t="str">
        <f t="shared" si="135"/>
        <v>Association Loi 1901 non Reconnue d'Utilité Publique</v>
      </c>
      <c r="Q822" t="str">
        <f t="shared" si="132"/>
        <v>36</v>
      </c>
      <c r="R822" t="str">
        <f t="shared" si="133"/>
        <v>Tarifs conventionnels assurance maladie</v>
      </c>
      <c r="U822" t="str">
        <f>"510026099"</f>
        <v>510026099</v>
      </c>
    </row>
    <row r="823" spans="1:21" x14ac:dyDescent="0.3">
      <c r="A823" t="str">
        <f>"850029216"</f>
        <v>850029216</v>
      </c>
      <c r="B823" t="str">
        <f>"218 502 227 00018"</f>
        <v>218 502 227 00018</v>
      </c>
      <c r="D823" t="str">
        <f>"CENTRE MUNICIPAL DE SANTE"</f>
        <v>CENTRE MUNICIPAL DE SANTE</v>
      </c>
      <c r="F823" t="str">
        <f>"86 QUAI DE LA REPUBLIQUE"</f>
        <v>86 QUAI DE LA REPUBLIQUE</v>
      </c>
      <c r="H823" t="str">
        <f>"85800"</f>
        <v>85800</v>
      </c>
      <c r="I823" t="str">
        <f>"ST GILLES CROIX DE VIE"</f>
        <v>ST GILLES CROIX DE VIE</v>
      </c>
      <c r="L823" s="1">
        <v>44281</v>
      </c>
      <c r="M823" t="str">
        <f t="shared" si="126"/>
        <v>124</v>
      </c>
      <c r="N823" t="str">
        <f t="shared" si="127"/>
        <v>Centre de Santé</v>
      </c>
      <c r="O823" t="str">
        <f>"03"</f>
        <v>03</v>
      </c>
      <c r="P823" t="str">
        <f>"Commune"</f>
        <v>Commune</v>
      </c>
      <c r="Q823" t="str">
        <f t="shared" si="132"/>
        <v>36</v>
      </c>
      <c r="R823" t="str">
        <f t="shared" si="133"/>
        <v>Tarifs conventionnels assurance maladie</v>
      </c>
      <c r="U823" t="str">
        <f>"850029208"</f>
        <v>850029208</v>
      </c>
    </row>
    <row r="824" spans="1:21" x14ac:dyDescent="0.3">
      <c r="A824" t="str">
        <f>"330061409"</f>
        <v>330061409</v>
      </c>
      <c r="B824" t="str">
        <f>"884 036 716 00014"</f>
        <v>884 036 716 00014</v>
      </c>
      <c r="D824" t="str">
        <f>"CDS BIODENT ARCACHON"</f>
        <v>CDS BIODENT ARCACHON</v>
      </c>
      <c r="F824" t="str">
        <f>"3 AVENUE DE BINGHAMPTON"</f>
        <v>3 AVENUE DE BINGHAMPTON</v>
      </c>
      <c r="H824" t="str">
        <f>"33260"</f>
        <v>33260</v>
      </c>
      <c r="I824" t="str">
        <f>"LA TESTE DE BUCH"</f>
        <v>LA TESTE DE BUCH</v>
      </c>
      <c r="L824" s="1">
        <v>44277</v>
      </c>
      <c r="M824" t="str">
        <f t="shared" si="126"/>
        <v>124</v>
      </c>
      <c r="N824" t="str">
        <f t="shared" si="127"/>
        <v>Centre de Santé</v>
      </c>
      <c r="O824" t="str">
        <f t="shared" ref="O824:O835" si="136">"60"</f>
        <v>60</v>
      </c>
      <c r="P824" t="str">
        <f t="shared" ref="P824:P835" si="137">"Association Loi 1901 non Reconnue d'Utilité Publique"</f>
        <v>Association Loi 1901 non Reconnue d'Utilité Publique</v>
      </c>
      <c r="Q824" t="str">
        <f t="shared" si="132"/>
        <v>36</v>
      </c>
      <c r="R824" t="str">
        <f t="shared" si="133"/>
        <v>Tarifs conventionnels assurance maladie</v>
      </c>
      <c r="U824" t="str">
        <f>"330061391"</f>
        <v>330061391</v>
      </c>
    </row>
    <row r="825" spans="1:21" x14ac:dyDescent="0.3">
      <c r="A825" t="str">
        <f>"490022084"</f>
        <v>490022084</v>
      </c>
      <c r="B825" t="str">
        <f>"885 358 788 00028"</f>
        <v>885 358 788 00028</v>
      </c>
      <c r="D825" t="str">
        <f>"CENTRE DE SANTE ET OPHTALMOLOGIE"</f>
        <v>CENTRE DE SANTE ET OPHTALMOLOGIE</v>
      </c>
      <c r="F825" t="str">
        <f>"53 BOULEVARD DU ROI RENE"</f>
        <v>53 BOULEVARD DU ROI RENE</v>
      </c>
      <c r="H825" t="str">
        <f>"49100"</f>
        <v>49100</v>
      </c>
      <c r="I825" t="str">
        <f>"ANGERS"</f>
        <v>ANGERS</v>
      </c>
      <c r="J825" t="str">
        <f>"07 83 11 24 39 "</f>
        <v xml:space="preserve">07 83 11 24 39 </v>
      </c>
      <c r="L825" s="1">
        <v>44277</v>
      </c>
      <c r="M825" t="str">
        <f t="shared" si="126"/>
        <v>124</v>
      </c>
      <c r="N825" t="str">
        <f t="shared" si="127"/>
        <v>Centre de Santé</v>
      </c>
      <c r="O825" t="str">
        <f t="shared" si="136"/>
        <v>60</v>
      </c>
      <c r="P825" t="str">
        <f t="shared" si="137"/>
        <v>Association Loi 1901 non Reconnue d'Utilité Publique</v>
      </c>
      <c r="Q825" t="str">
        <f t="shared" si="132"/>
        <v>36</v>
      </c>
      <c r="R825" t="str">
        <f t="shared" si="133"/>
        <v>Tarifs conventionnels assurance maladie</v>
      </c>
      <c r="U825" t="str">
        <f>"490022076"</f>
        <v>490022076</v>
      </c>
    </row>
    <row r="826" spans="1:21" x14ac:dyDescent="0.3">
      <c r="A826" t="str">
        <f>"750067050"</f>
        <v>750067050</v>
      </c>
      <c r="B826" t="str">
        <f>"891 257 693 00012"</f>
        <v>891 257 693 00012</v>
      </c>
      <c r="D826" t="str">
        <f>"CDS OPHTALYA CTRE OPHTALMO FLANDRE"</f>
        <v>CDS OPHTALYA CTRE OPHTALMO FLANDRE</v>
      </c>
      <c r="F826" t="str">
        <f>"37 RUE ARCHEREAU"</f>
        <v>37 RUE ARCHEREAU</v>
      </c>
      <c r="H826" t="str">
        <f>"75019"</f>
        <v>75019</v>
      </c>
      <c r="I826" t="str">
        <f>"PARIS"</f>
        <v>PARIS</v>
      </c>
      <c r="J826" t="str">
        <f>"01 89 16 60 30 "</f>
        <v xml:space="preserve">01 89 16 60 30 </v>
      </c>
      <c r="L826" s="1">
        <v>44277</v>
      </c>
      <c r="M826" t="str">
        <f t="shared" si="126"/>
        <v>124</v>
      </c>
      <c r="N826" t="str">
        <f t="shared" si="127"/>
        <v>Centre de Santé</v>
      </c>
      <c r="O826" t="str">
        <f t="shared" si="136"/>
        <v>60</v>
      </c>
      <c r="P826" t="str">
        <f t="shared" si="137"/>
        <v>Association Loi 1901 non Reconnue d'Utilité Publique</v>
      </c>
      <c r="Q826" t="str">
        <f t="shared" si="132"/>
        <v>36</v>
      </c>
      <c r="R826" t="str">
        <f t="shared" si="133"/>
        <v>Tarifs conventionnels assurance maladie</v>
      </c>
      <c r="U826" t="str">
        <f>"750067043"</f>
        <v>750067043</v>
      </c>
    </row>
    <row r="827" spans="1:21" x14ac:dyDescent="0.3">
      <c r="A827" t="str">
        <f>"750067142"</f>
        <v>750067142</v>
      </c>
      <c r="B827" t="str">
        <f>"892 031 089 00022"</f>
        <v>892 031 089 00022</v>
      </c>
      <c r="D827" t="str">
        <f>"CDS DENTAIRE LECOURBE CONVENTION"</f>
        <v>CDS DENTAIRE LECOURBE CONVENTION</v>
      </c>
      <c r="F827" t="str">
        <f>"269 RUE LECOURBE"</f>
        <v>269 RUE LECOURBE</v>
      </c>
      <c r="H827" t="str">
        <f>"75015"</f>
        <v>75015</v>
      </c>
      <c r="I827" t="str">
        <f>"PARIS"</f>
        <v>PARIS</v>
      </c>
      <c r="J827" t="str">
        <f>"06 21 99 25 80 "</f>
        <v xml:space="preserve">06 21 99 25 80 </v>
      </c>
      <c r="L827" s="1">
        <v>44277</v>
      </c>
      <c r="M827" t="str">
        <f t="shared" si="126"/>
        <v>124</v>
      </c>
      <c r="N827" t="str">
        <f t="shared" si="127"/>
        <v>Centre de Santé</v>
      </c>
      <c r="O827" t="str">
        <f t="shared" si="136"/>
        <v>60</v>
      </c>
      <c r="P827" t="str">
        <f t="shared" si="137"/>
        <v>Association Loi 1901 non Reconnue d'Utilité Publique</v>
      </c>
      <c r="Q827" t="str">
        <f t="shared" si="132"/>
        <v>36</v>
      </c>
      <c r="R827" t="str">
        <f t="shared" si="133"/>
        <v>Tarifs conventionnels assurance maladie</v>
      </c>
      <c r="U827" t="str">
        <f>"750068322"</f>
        <v>750068322</v>
      </c>
    </row>
    <row r="828" spans="1:21" x14ac:dyDescent="0.3">
      <c r="A828" t="str">
        <f>"920037025"</f>
        <v>920037025</v>
      </c>
      <c r="B828" t="str">
        <f>"884 780 461 00015"</f>
        <v>884 780 461 00015</v>
      </c>
      <c r="D828" t="str">
        <f>"CDS MEDICO DENTAIRE DE VILLENEUVE"</f>
        <v>CDS MEDICO DENTAIRE DE VILLENEUVE</v>
      </c>
      <c r="F828" t="str">
        <f>"38 AVENUE DE VERDUN"</f>
        <v>38 AVENUE DE VERDUN</v>
      </c>
      <c r="H828" t="str">
        <f>"92390"</f>
        <v>92390</v>
      </c>
      <c r="I828" t="str">
        <f>"VILLENEUVE LA GARENNE"</f>
        <v>VILLENEUVE LA GARENNE</v>
      </c>
      <c r="J828" t="str">
        <f>"06 29 74 00 95 "</f>
        <v xml:space="preserve">06 29 74 00 95 </v>
      </c>
      <c r="L828" s="1">
        <v>44277</v>
      </c>
      <c r="M828" t="str">
        <f t="shared" si="126"/>
        <v>124</v>
      </c>
      <c r="N828" t="str">
        <f t="shared" si="127"/>
        <v>Centre de Santé</v>
      </c>
      <c r="O828" t="str">
        <f t="shared" si="136"/>
        <v>60</v>
      </c>
      <c r="P828" t="str">
        <f t="shared" si="137"/>
        <v>Association Loi 1901 non Reconnue d'Utilité Publique</v>
      </c>
      <c r="Q828" t="str">
        <f t="shared" si="132"/>
        <v>36</v>
      </c>
      <c r="R828" t="str">
        <f t="shared" si="133"/>
        <v>Tarifs conventionnels assurance maladie</v>
      </c>
      <c r="U828" t="str">
        <f>"950045492"</f>
        <v>950045492</v>
      </c>
    </row>
    <row r="829" spans="1:21" x14ac:dyDescent="0.3">
      <c r="A829" t="str">
        <f>"920037181"</f>
        <v>920037181</v>
      </c>
      <c r="B829" t="str">
        <f>"888 426 418 00024"</f>
        <v>888 426 418 00024</v>
      </c>
      <c r="D829" t="str">
        <f>"CDS D'ASNIERES BOIS COLOMBES"</f>
        <v>CDS D'ASNIERES BOIS COLOMBES</v>
      </c>
      <c r="F829" t="str">
        <f>"35 RUE DES BOURGUIGNONS"</f>
        <v>35 RUE DES BOURGUIGNONS</v>
      </c>
      <c r="H829" t="str">
        <f>"92270"</f>
        <v>92270</v>
      </c>
      <c r="I829" t="str">
        <f>"BOIS COLOMBES"</f>
        <v>BOIS COLOMBES</v>
      </c>
      <c r="J829" t="str">
        <f>"01 84 20 86 26 "</f>
        <v xml:space="preserve">01 84 20 86 26 </v>
      </c>
      <c r="L829" s="1">
        <v>44277</v>
      </c>
      <c r="M829" t="str">
        <f t="shared" si="126"/>
        <v>124</v>
      </c>
      <c r="N829" t="str">
        <f t="shared" si="127"/>
        <v>Centre de Santé</v>
      </c>
      <c r="O829" t="str">
        <f t="shared" si="136"/>
        <v>60</v>
      </c>
      <c r="P829" t="str">
        <f t="shared" si="137"/>
        <v>Association Loi 1901 non Reconnue d'Utilité Publique</v>
      </c>
      <c r="Q829" t="str">
        <f t="shared" si="132"/>
        <v>36</v>
      </c>
      <c r="R829" t="str">
        <f t="shared" si="133"/>
        <v>Tarifs conventionnels assurance maladie</v>
      </c>
      <c r="U829" t="str">
        <f>"920037652"</f>
        <v>920037652</v>
      </c>
    </row>
    <row r="830" spans="1:21" x14ac:dyDescent="0.3">
      <c r="A830" t="str">
        <f>"920037207"</f>
        <v>920037207</v>
      </c>
      <c r="B830" t="str">
        <f>"891 230 328 00025"</f>
        <v>891 230 328 00025</v>
      </c>
      <c r="D830" t="str">
        <f>"CDS DENTAIRE CLAMART MAIRIE"</f>
        <v>CDS DENTAIRE CLAMART MAIRIE</v>
      </c>
      <c r="E830" t="str">
        <f>"3-5"</f>
        <v>3-5</v>
      </c>
      <c r="F830" t="str">
        <f>"3 PLACE DE LA SOURCE"</f>
        <v>3 PLACE DE LA SOURCE</v>
      </c>
      <c r="H830" t="str">
        <f>"92140"</f>
        <v>92140</v>
      </c>
      <c r="I830" t="str">
        <f>"CLAMART"</f>
        <v>CLAMART</v>
      </c>
      <c r="J830" t="str">
        <f>"06 21 99 25 80 "</f>
        <v xml:space="preserve">06 21 99 25 80 </v>
      </c>
      <c r="L830" s="1">
        <v>44277</v>
      </c>
      <c r="M830" t="str">
        <f t="shared" si="126"/>
        <v>124</v>
      </c>
      <c r="N830" t="str">
        <f t="shared" si="127"/>
        <v>Centre de Santé</v>
      </c>
      <c r="O830" t="str">
        <f t="shared" si="136"/>
        <v>60</v>
      </c>
      <c r="P830" t="str">
        <f t="shared" si="137"/>
        <v>Association Loi 1901 non Reconnue d'Utilité Publique</v>
      </c>
      <c r="Q830" t="str">
        <f t="shared" si="132"/>
        <v>36</v>
      </c>
      <c r="R830" t="str">
        <f t="shared" si="133"/>
        <v>Tarifs conventionnels assurance maladie</v>
      </c>
      <c r="U830" t="str">
        <f>"920037199"</f>
        <v>920037199</v>
      </c>
    </row>
    <row r="831" spans="1:21" x14ac:dyDescent="0.3">
      <c r="A831" t="str">
        <f>"920037231"</f>
        <v>920037231</v>
      </c>
      <c r="B831" t="str">
        <f>"890 388 762 00019"</f>
        <v>890 388 762 00019</v>
      </c>
      <c r="D831" t="str">
        <f>"CDS DE LA GARE CLICHY LEVALLOIS"</f>
        <v>CDS DE LA GARE CLICHY LEVALLOIS</v>
      </c>
      <c r="F831" t="str">
        <f>"60 RUE VICTOR HUGO"</f>
        <v>60 RUE VICTOR HUGO</v>
      </c>
      <c r="H831" t="str">
        <f>"92300"</f>
        <v>92300</v>
      </c>
      <c r="I831" t="str">
        <f>"LEVALLOIS PERRET"</f>
        <v>LEVALLOIS PERRET</v>
      </c>
      <c r="J831" t="str">
        <f>"01 42 11 11 04 "</f>
        <v xml:space="preserve">01 42 11 11 04 </v>
      </c>
      <c r="L831" s="1">
        <v>44277</v>
      </c>
      <c r="M831" t="str">
        <f t="shared" si="126"/>
        <v>124</v>
      </c>
      <c r="N831" t="str">
        <f t="shared" si="127"/>
        <v>Centre de Santé</v>
      </c>
      <c r="O831" t="str">
        <f t="shared" si="136"/>
        <v>60</v>
      </c>
      <c r="P831" t="str">
        <f t="shared" si="137"/>
        <v>Association Loi 1901 non Reconnue d'Utilité Publique</v>
      </c>
      <c r="Q831" t="str">
        <f t="shared" si="132"/>
        <v>36</v>
      </c>
      <c r="R831" t="str">
        <f t="shared" si="133"/>
        <v>Tarifs conventionnels assurance maladie</v>
      </c>
      <c r="U831" t="str">
        <f>"750067134"</f>
        <v>750067134</v>
      </c>
    </row>
    <row r="832" spans="1:21" x14ac:dyDescent="0.3">
      <c r="A832" t="str">
        <f>"930030598"</f>
        <v>930030598</v>
      </c>
      <c r="B832" t="str">
        <f>"892 377 987 00011"</f>
        <v>892 377 987 00011</v>
      </c>
      <c r="D832" t="str">
        <f>"CDS OPHTALMOLOGIQUE AUBERVILLIERS"</f>
        <v>CDS OPHTALMOLOGIQUE AUBERVILLIERS</v>
      </c>
      <c r="E832" t="str">
        <f>"169-171"</f>
        <v>169-171</v>
      </c>
      <c r="F832" t="str">
        <f>"169 AVENUE VICTOR HUGO"</f>
        <v>169 AVENUE VICTOR HUGO</v>
      </c>
      <c r="H832" t="str">
        <f>"93300"</f>
        <v>93300</v>
      </c>
      <c r="I832" t="str">
        <f>"AUBERVILLIERS"</f>
        <v>AUBERVILLIERS</v>
      </c>
      <c r="J832" t="str">
        <f>"07 60 35 00 62 "</f>
        <v xml:space="preserve">07 60 35 00 62 </v>
      </c>
      <c r="L832" s="1">
        <v>44277</v>
      </c>
      <c r="M832" t="str">
        <f t="shared" si="126"/>
        <v>124</v>
      </c>
      <c r="N832" t="str">
        <f t="shared" si="127"/>
        <v>Centre de Santé</v>
      </c>
      <c r="O832" t="str">
        <f t="shared" si="136"/>
        <v>60</v>
      </c>
      <c r="P832" t="str">
        <f t="shared" si="137"/>
        <v>Association Loi 1901 non Reconnue d'Utilité Publique</v>
      </c>
      <c r="Q832" t="str">
        <f t="shared" si="132"/>
        <v>36</v>
      </c>
      <c r="R832" t="str">
        <f t="shared" si="133"/>
        <v>Tarifs conventionnels assurance maladie</v>
      </c>
      <c r="U832" t="str">
        <f>"930030580"</f>
        <v>930030580</v>
      </c>
    </row>
    <row r="833" spans="1:21" x14ac:dyDescent="0.3">
      <c r="A833" t="str">
        <f>"950045245"</f>
        <v>950045245</v>
      </c>
      <c r="B833" t="str">
        <f>"879 635 217 00018"</f>
        <v>879 635 217 00018</v>
      </c>
      <c r="D833" t="str">
        <f>"CDS SAGEO MONTIGNY LES CORMEILLES"</f>
        <v>CDS SAGEO MONTIGNY LES CORMEILLES</v>
      </c>
      <c r="F833" t="str">
        <f>"197 RUE DU GENERAL DE GAULLE"</f>
        <v>197 RUE DU GENERAL DE GAULLE</v>
      </c>
      <c r="H833" t="str">
        <f>"95370"</f>
        <v>95370</v>
      </c>
      <c r="I833" t="str">
        <f>"MONTIGNY LES CORMEILLES"</f>
        <v>MONTIGNY LES CORMEILLES</v>
      </c>
      <c r="J833" t="str">
        <f>"01 88 18 02 00 "</f>
        <v xml:space="preserve">01 88 18 02 00 </v>
      </c>
      <c r="L833" s="1">
        <v>44277</v>
      </c>
      <c r="M833" t="str">
        <f t="shared" si="126"/>
        <v>124</v>
      </c>
      <c r="N833" t="str">
        <f t="shared" si="127"/>
        <v>Centre de Santé</v>
      </c>
      <c r="O833" t="str">
        <f t="shared" si="136"/>
        <v>60</v>
      </c>
      <c r="P833" t="str">
        <f t="shared" si="137"/>
        <v>Association Loi 1901 non Reconnue d'Utilité Publique</v>
      </c>
      <c r="Q833" t="str">
        <f t="shared" si="132"/>
        <v>36</v>
      </c>
      <c r="R833" t="str">
        <f t="shared" si="133"/>
        <v>Tarifs conventionnels assurance maladie</v>
      </c>
      <c r="U833" t="str">
        <f>"750065872"</f>
        <v>750065872</v>
      </c>
    </row>
    <row r="834" spans="1:21" x14ac:dyDescent="0.3">
      <c r="A834" t="str">
        <f>"950045633"</f>
        <v>950045633</v>
      </c>
      <c r="B834" t="str">
        <f>"882 696 685 00016"</f>
        <v>882 696 685 00016</v>
      </c>
      <c r="D834" t="str">
        <f>"CDS MEGAVISION SANNOIS"</f>
        <v>CDS MEGAVISION SANNOIS</v>
      </c>
      <c r="F834" t="str">
        <f>"AVENUE SABERNAUDE"</f>
        <v>AVENUE SABERNAUDE</v>
      </c>
      <c r="H834" t="str">
        <f>"95110"</f>
        <v>95110</v>
      </c>
      <c r="I834" t="str">
        <f>"SANNOIS"</f>
        <v>SANNOIS</v>
      </c>
      <c r="J834" t="str">
        <f>"01 30 18 28 48 "</f>
        <v xml:space="preserve">01 30 18 28 48 </v>
      </c>
      <c r="L834" s="1">
        <v>44277</v>
      </c>
      <c r="M834" t="str">
        <f t="shared" ref="M834:M897" si="138">"124"</f>
        <v>124</v>
      </c>
      <c r="N834" t="str">
        <f t="shared" ref="N834:N897" si="139">"Centre de Santé"</f>
        <v>Centre de Santé</v>
      </c>
      <c r="O834" t="str">
        <f t="shared" si="136"/>
        <v>60</v>
      </c>
      <c r="P834" t="str">
        <f t="shared" si="137"/>
        <v>Association Loi 1901 non Reconnue d'Utilité Publique</v>
      </c>
      <c r="Q834" t="str">
        <f t="shared" si="132"/>
        <v>36</v>
      </c>
      <c r="R834" t="str">
        <f t="shared" si="133"/>
        <v>Tarifs conventionnels assurance maladie</v>
      </c>
      <c r="U834" t="str">
        <f>"950045625"</f>
        <v>950045625</v>
      </c>
    </row>
    <row r="835" spans="1:21" x14ac:dyDescent="0.3">
      <c r="A835" t="str">
        <f>"380025304"</f>
        <v>380025304</v>
      </c>
      <c r="B835" t="str">
        <f>"897 594 107 00012"</f>
        <v>897 594 107 00012</v>
      </c>
      <c r="D835" t="str">
        <f>"CENTRE DE SANTE L'ETOILE"</f>
        <v>CENTRE DE SANTE L'ETOILE</v>
      </c>
      <c r="F835" t="str">
        <f>"4 AVENUE DU 8 MAI 1945"</f>
        <v>4 AVENUE DU 8 MAI 1945</v>
      </c>
      <c r="H835" t="str">
        <f>"38400"</f>
        <v>38400</v>
      </c>
      <c r="I835" t="str">
        <f>"ST MARTIN D HERES"</f>
        <v>ST MARTIN D HERES</v>
      </c>
      <c r="J835" t="str">
        <f>"04 76 62 27 95 "</f>
        <v xml:space="preserve">04 76 62 27 95 </v>
      </c>
      <c r="L835" s="1">
        <v>44274</v>
      </c>
      <c r="M835" t="str">
        <f t="shared" si="138"/>
        <v>124</v>
      </c>
      <c r="N835" t="str">
        <f t="shared" si="139"/>
        <v>Centre de Santé</v>
      </c>
      <c r="O835" t="str">
        <f t="shared" si="136"/>
        <v>60</v>
      </c>
      <c r="P835" t="str">
        <f t="shared" si="137"/>
        <v>Association Loi 1901 non Reconnue d'Utilité Publique</v>
      </c>
      <c r="Q835" t="str">
        <f t="shared" ref="Q835:Q866" si="140">"36"</f>
        <v>36</v>
      </c>
      <c r="R835" t="str">
        <f t="shared" ref="R835:R866" si="141">"Tarifs conventionnels assurance maladie"</f>
        <v>Tarifs conventionnels assurance maladie</v>
      </c>
      <c r="U835" t="str">
        <f>"380025296"</f>
        <v>380025296</v>
      </c>
    </row>
    <row r="836" spans="1:21" x14ac:dyDescent="0.3">
      <c r="A836" t="str">
        <f>"670021153"</f>
        <v>670021153</v>
      </c>
      <c r="B836" t="str">
        <f>"775 641 731 00325"</f>
        <v>775 641 731 00325</v>
      </c>
      <c r="D836" t="str">
        <f>"CSI DES DIACONESSES CITÉ DE L'ILL"</f>
        <v>CSI DES DIACONESSES CITÉ DE L'ILL</v>
      </c>
      <c r="F836" t="str">
        <f>"42 RUE DE L'ILL"</f>
        <v>42 RUE DE L'ILL</v>
      </c>
      <c r="H836" t="str">
        <f>"67000"</f>
        <v>67000</v>
      </c>
      <c r="I836" t="str">
        <f>"STRASBOURG"</f>
        <v>STRASBOURG</v>
      </c>
      <c r="J836" t="str">
        <f>"03 67 29 07 73 "</f>
        <v xml:space="preserve">03 67 29 07 73 </v>
      </c>
      <c r="L836" s="1">
        <v>44274</v>
      </c>
      <c r="M836" t="str">
        <f t="shared" si="138"/>
        <v>124</v>
      </c>
      <c r="N836" t="str">
        <f t="shared" si="139"/>
        <v>Centre de Santé</v>
      </c>
      <c r="O836" t="str">
        <f>"61"</f>
        <v>61</v>
      </c>
      <c r="P836" t="str">
        <f>"Association Loi 1901 Reconnue d'Utilité Publique"</f>
        <v>Association Loi 1901 Reconnue d'Utilité Publique</v>
      </c>
      <c r="Q836" t="str">
        <f t="shared" si="140"/>
        <v>36</v>
      </c>
      <c r="R836" t="str">
        <f t="shared" si="141"/>
        <v>Tarifs conventionnels assurance maladie</v>
      </c>
      <c r="U836" t="str">
        <f>"670000108"</f>
        <v>670000108</v>
      </c>
    </row>
    <row r="837" spans="1:21" x14ac:dyDescent="0.3">
      <c r="A837" t="str">
        <f>"780028072"</f>
        <v>780028072</v>
      </c>
      <c r="B837" t="str">
        <f>"888 952 850 00012"</f>
        <v>888 952 850 00012</v>
      </c>
      <c r="D837" t="str">
        <f>"CDS DENTAIRE DE LA GARE SQY"</f>
        <v>CDS DENTAIRE DE LA GARE SQY</v>
      </c>
      <c r="F837" t="str">
        <f>"3 AVENUE DES PRES"</f>
        <v>3 AVENUE DES PRES</v>
      </c>
      <c r="H837" t="str">
        <f>"78180"</f>
        <v>78180</v>
      </c>
      <c r="I837" t="str">
        <f>"MONTIGNY LE BRETONNEUX"</f>
        <v>MONTIGNY LE BRETONNEUX</v>
      </c>
      <c r="J837" t="str">
        <f>"06 25 46 08 05 "</f>
        <v xml:space="preserve">06 25 46 08 05 </v>
      </c>
      <c r="L837" s="1">
        <v>44273</v>
      </c>
      <c r="M837" t="str">
        <f t="shared" si="138"/>
        <v>124</v>
      </c>
      <c r="N837" t="str">
        <f t="shared" si="139"/>
        <v>Centre de Santé</v>
      </c>
      <c r="O837" t="str">
        <f t="shared" ref="O837:O844" si="142">"60"</f>
        <v>60</v>
      </c>
      <c r="P837" t="str">
        <f t="shared" ref="P837:P844" si="143">"Association Loi 1901 non Reconnue d'Utilité Publique"</f>
        <v>Association Loi 1901 non Reconnue d'Utilité Publique</v>
      </c>
      <c r="Q837" t="str">
        <f t="shared" si="140"/>
        <v>36</v>
      </c>
      <c r="R837" t="str">
        <f t="shared" si="141"/>
        <v>Tarifs conventionnels assurance maladie</v>
      </c>
      <c r="U837" t="str">
        <f>"780028064"</f>
        <v>780028064</v>
      </c>
    </row>
    <row r="838" spans="1:21" x14ac:dyDescent="0.3">
      <c r="A838" t="str">
        <f>"310032750"</f>
        <v>310032750</v>
      </c>
      <c r="B838" t="str">
        <f>"891 067 894 00016"</f>
        <v>891 067 894 00016</v>
      </c>
      <c r="D838" t="str">
        <f>"CENTRE DE SANTE DENTAIRE TOULOUSE"</f>
        <v>CENTRE DE SANTE DENTAIRE TOULOUSE</v>
      </c>
      <c r="F838" t="str">
        <f>"3 BOULEVARD LASCROSSES"</f>
        <v>3 BOULEVARD LASCROSSES</v>
      </c>
      <c r="H838" t="str">
        <f>"31000"</f>
        <v>31000</v>
      </c>
      <c r="I838" t="str">
        <f>"TOULOUSE"</f>
        <v>TOULOUSE</v>
      </c>
      <c r="L838" s="1">
        <v>44271</v>
      </c>
      <c r="M838" t="str">
        <f t="shared" si="138"/>
        <v>124</v>
      </c>
      <c r="N838" t="str">
        <f t="shared" si="139"/>
        <v>Centre de Santé</v>
      </c>
      <c r="O838" t="str">
        <f t="shared" si="142"/>
        <v>60</v>
      </c>
      <c r="P838" t="str">
        <f t="shared" si="143"/>
        <v>Association Loi 1901 non Reconnue d'Utilité Publique</v>
      </c>
      <c r="Q838" t="str">
        <f t="shared" si="140"/>
        <v>36</v>
      </c>
      <c r="R838" t="str">
        <f t="shared" si="141"/>
        <v>Tarifs conventionnels assurance maladie</v>
      </c>
      <c r="U838" t="str">
        <f>"310032743"</f>
        <v>310032743</v>
      </c>
    </row>
    <row r="839" spans="1:21" x14ac:dyDescent="0.3">
      <c r="A839" t="str">
        <f>"060030210"</f>
        <v>060030210</v>
      </c>
      <c r="D839" t="str">
        <f>"CENTRE OPHTALMOLOGIQUE C.V.C"</f>
        <v>CENTRE OPHTALMOLOGIQUE C.V.C</v>
      </c>
      <c r="F839" t="str">
        <f>"119 AVENUE DES ALPES"</f>
        <v>119 AVENUE DES ALPES</v>
      </c>
      <c r="H839" t="str">
        <f>"06800"</f>
        <v>06800</v>
      </c>
      <c r="I839" t="str">
        <f>"CAGNES SUR MER"</f>
        <v>CAGNES SUR MER</v>
      </c>
      <c r="J839" t="str">
        <f>"06 99 79 42 42 "</f>
        <v xml:space="preserve">06 99 79 42 42 </v>
      </c>
      <c r="L839" s="1">
        <v>44270</v>
      </c>
      <c r="M839" t="str">
        <f t="shared" si="138"/>
        <v>124</v>
      </c>
      <c r="N839" t="str">
        <f t="shared" si="139"/>
        <v>Centre de Santé</v>
      </c>
      <c r="O839" t="str">
        <f t="shared" si="142"/>
        <v>60</v>
      </c>
      <c r="P839" t="str">
        <f t="shared" si="143"/>
        <v>Association Loi 1901 non Reconnue d'Utilité Publique</v>
      </c>
      <c r="Q839" t="str">
        <f t="shared" si="140"/>
        <v>36</v>
      </c>
      <c r="R839" t="str">
        <f t="shared" si="141"/>
        <v>Tarifs conventionnels assurance maladie</v>
      </c>
      <c r="U839" t="str">
        <f>"060030681"</f>
        <v>060030681</v>
      </c>
    </row>
    <row r="840" spans="1:21" x14ac:dyDescent="0.3">
      <c r="A840" t="str">
        <f>"670021104"</f>
        <v>670021104</v>
      </c>
      <c r="B840" t="str">
        <f>"850 099 474 00031"</f>
        <v>850 099 474 00031</v>
      </c>
      <c r="D840" t="str">
        <f>"CDS POLYVALENT SOMED COEUR ALSACE"</f>
        <v>CDS POLYVALENT SOMED COEUR ALSACE</v>
      </c>
      <c r="E840" t="str">
        <f>"SHOP PROMENADE-COEUR ALSACE RD63"</f>
        <v>SHOP PROMENADE-COEUR ALSACE RD63</v>
      </c>
      <c r="F840" t="str">
        <f>"6 BOULEVARD DES ENSEIGNES"</f>
        <v>6 BOULEVARD DES ENSEIGNES</v>
      </c>
      <c r="H840" t="str">
        <f>"67116"</f>
        <v>67116</v>
      </c>
      <c r="I840" t="str">
        <f>"REICHSTETT"</f>
        <v>REICHSTETT</v>
      </c>
      <c r="J840" t="str">
        <f>"03 67 07 20 72 "</f>
        <v xml:space="preserve">03 67 07 20 72 </v>
      </c>
      <c r="L840" s="1">
        <v>44270</v>
      </c>
      <c r="M840" t="str">
        <f t="shared" si="138"/>
        <v>124</v>
      </c>
      <c r="N840" t="str">
        <f t="shared" si="139"/>
        <v>Centre de Santé</v>
      </c>
      <c r="O840" t="str">
        <f t="shared" si="142"/>
        <v>60</v>
      </c>
      <c r="P840" t="str">
        <f t="shared" si="143"/>
        <v>Association Loi 1901 non Reconnue d'Utilité Publique</v>
      </c>
      <c r="Q840" t="str">
        <f t="shared" si="140"/>
        <v>36</v>
      </c>
      <c r="R840" t="str">
        <f t="shared" si="141"/>
        <v>Tarifs conventionnels assurance maladie</v>
      </c>
      <c r="U840" t="str">
        <f>"540025996"</f>
        <v>540025996</v>
      </c>
    </row>
    <row r="841" spans="1:21" x14ac:dyDescent="0.3">
      <c r="A841" t="str">
        <f>"910025048"</f>
        <v>910025048</v>
      </c>
      <c r="B841" t="str">
        <f>"883 840 985 00021"</f>
        <v>883 840 985 00021</v>
      </c>
      <c r="D841" t="str">
        <f>"CDS DENTAIRE STE GENEVIEVE DES BOIS"</f>
        <v>CDS DENTAIRE STE GENEVIEVE DES BOIS</v>
      </c>
      <c r="F841" t="str">
        <f>"120 AVENUE GABRIEL PERI"</f>
        <v>120 AVENUE GABRIEL PERI</v>
      </c>
      <c r="H841" t="str">
        <f>"91700"</f>
        <v>91700</v>
      </c>
      <c r="I841" t="str">
        <f>"STE GENEVIEVE DES BOIS"</f>
        <v>STE GENEVIEVE DES BOIS</v>
      </c>
      <c r="J841" t="str">
        <f>"01 60 16 33 11 "</f>
        <v xml:space="preserve">01 60 16 33 11 </v>
      </c>
      <c r="L841" s="1">
        <v>44270</v>
      </c>
      <c r="M841" t="str">
        <f t="shared" si="138"/>
        <v>124</v>
      </c>
      <c r="N841" t="str">
        <f t="shared" si="139"/>
        <v>Centre de Santé</v>
      </c>
      <c r="O841" t="str">
        <f t="shared" si="142"/>
        <v>60</v>
      </c>
      <c r="P841" t="str">
        <f t="shared" si="143"/>
        <v>Association Loi 1901 non Reconnue d'Utilité Publique</v>
      </c>
      <c r="Q841" t="str">
        <f t="shared" si="140"/>
        <v>36</v>
      </c>
      <c r="R841" t="str">
        <f t="shared" si="141"/>
        <v>Tarifs conventionnels assurance maladie</v>
      </c>
      <c r="U841" t="str">
        <f>"910026442"</f>
        <v>910026442</v>
      </c>
    </row>
    <row r="842" spans="1:21" x14ac:dyDescent="0.3">
      <c r="A842" t="str">
        <f>"920037066"</f>
        <v>920037066</v>
      </c>
      <c r="B842" t="str">
        <f>"891 123 762 00025"</f>
        <v>891 123 762 00025</v>
      </c>
      <c r="D842" t="str">
        <f>"CDS OPHTALMOLOGIQUE DE COLOMBES"</f>
        <v>CDS OPHTALMOLOGIQUE DE COLOMBES</v>
      </c>
      <c r="F842" t="str">
        <f>"25 AVENUE DE L'EUROPE"</f>
        <v>25 AVENUE DE L'EUROPE</v>
      </c>
      <c r="H842" t="str">
        <f>"92700"</f>
        <v>92700</v>
      </c>
      <c r="I842" t="str">
        <f>"COLOMBES"</f>
        <v>COLOMBES</v>
      </c>
      <c r="J842" t="str">
        <f>"06 99 74 50 00 "</f>
        <v xml:space="preserve">06 99 74 50 00 </v>
      </c>
      <c r="L842" s="1">
        <v>44270</v>
      </c>
      <c r="M842" t="str">
        <f t="shared" si="138"/>
        <v>124</v>
      </c>
      <c r="N842" t="str">
        <f t="shared" si="139"/>
        <v>Centre de Santé</v>
      </c>
      <c r="O842" t="str">
        <f t="shared" si="142"/>
        <v>60</v>
      </c>
      <c r="P842" t="str">
        <f t="shared" si="143"/>
        <v>Association Loi 1901 non Reconnue d'Utilité Publique</v>
      </c>
      <c r="Q842" t="str">
        <f t="shared" si="140"/>
        <v>36</v>
      </c>
      <c r="R842" t="str">
        <f t="shared" si="141"/>
        <v>Tarifs conventionnels assurance maladie</v>
      </c>
      <c r="U842" t="str">
        <f>"920037058"</f>
        <v>920037058</v>
      </c>
    </row>
    <row r="843" spans="1:21" x14ac:dyDescent="0.3">
      <c r="A843" t="str">
        <f>"940027170"</f>
        <v>940027170</v>
      </c>
      <c r="B843" t="str">
        <f>"751 604 406 00015"</f>
        <v>751 604 406 00015</v>
      </c>
      <c r="D843" t="str">
        <f>"CDS LE KREMLIN BICETRE"</f>
        <v>CDS LE KREMLIN BICETRE</v>
      </c>
      <c r="F843" t="str">
        <f>"140 AVENUE DE FONTAINEBLEAU"</f>
        <v>140 AVENUE DE FONTAINEBLEAU</v>
      </c>
      <c r="H843" t="str">
        <f>"94270"</f>
        <v>94270</v>
      </c>
      <c r="I843" t="str">
        <f>"LE KREMLIN BICETRE"</f>
        <v>LE KREMLIN BICETRE</v>
      </c>
      <c r="L843" s="1">
        <v>44269</v>
      </c>
      <c r="M843" t="str">
        <f t="shared" si="138"/>
        <v>124</v>
      </c>
      <c r="N843" t="str">
        <f t="shared" si="139"/>
        <v>Centre de Santé</v>
      </c>
      <c r="O843" t="str">
        <f t="shared" si="142"/>
        <v>60</v>
      </c>
      <c r="P843" t="str">
        <f t="shared" si="143"/>
        <v>Association Loi 1901 non Reconnue d'Utilité Publique</v>
      </c>
      <c r="Q843" t="str">
        <f t="shared" si="140"/>
        <v>36</v>
      </c>
      <c r="R843" t="str">
        <f t="shared" si="141"/>
        <v>Tarifs conventionnels assurance maladie</v>
      </c>
      <c r="U843" t="str">
        <f>"750050577"</f>
        <v>750050577</v>
      </c>
    </row>
    <row r="844" spans="1:21" x14ac:dyDescent="0.3">
      <c r="A844" t="str">
        <f>"750066730"</f>
        <v>750066730</v>
      </c>
      <c r="B844" t="str">
        <f>"890 583 164 00011"</f>
        <v>890 583 164 00011</v>
      </c>
      <c r="D844" t="str">
        <f>"CDS DENTAIRE GARE DE LYON"</f>
        <v>CDS DENTAIRE GARE DE LYON</v>
      </c>
      <c r="F844" t="str">
        <f>"5 RUE LYON"</f>
        <v>5 RUE LYON</v>
      </c>
      <c r="H844" t="str">
        <f>"75012"</f>
        <v>75012</v>
      </c>
      <c r="I844" t="str">
        <f>"PARIS"</f>
        <v>PARIS</v>
      </c>
      <c r="L844" s="1">
        <v>44264</v>
      </c>
      <c r="M844" t="str">
        <f t="shared" si="138"/>
        <v>124</v>
      </c>
      <c r="N844" t="str">
        <f t="shared" si="139"/>
        <v>Centre de Santé</v>
      </c>
      <c r="O844" t="str">
        <f t="shared" si="142"/>
        <v>60</v>
      </c>
      <c r="P844" t="str">
        <f t="shared" si="143"/>
        <v>Association Loi 1901 non Reconnue d'Utilité Publique</v>
      </c>
      <c r="Q844" t="str">
        <f t="shared" si="140"/>
        <v>36</v>
      </c>
      <c r="R844" t="str">
        <f t="shared" si="141"/>
        <v>Tarifs conventionnels assurance maladie</v>
      </c>
      <c r="U844" t="str">
        <f>"750066722"</f>
        <v>750066722</v>
      </c>
    </row>
    <row r="845" spans="1:21" x14ac:dyDescent="0.3">
      <c r="A845" t="str">
        <f>"130051568"</f>
        <v>130051568</v>
      </c>
      <c r="B845" t="str">
        <f>"879 712 552 00014"</f>
        <v>879 712 552 00014</v>
      </c>
      <c r="D845" t="str">
        <f>"CDS AUBAGNE"</f>
        <v>CDS AUBAGNE</v>
      </c>
      <c r="F845" t="str">
        <f>"2 AVENUE DE VERDUN"</f>
        <v>2 AVENUE DE VERDUN</v>
      </c>
      <c r="H845" t="str">
        <f>"13400"</f>
        <v>13400</v>
      </c>
      <c r="I845" t="str">
        <f>"AUBAGNE"</f>
        <v>AUBAGNE</v>
      </c>
      <c r="J845" t="str">
        <f>"04 42 72 19 90 "</f>
        <v xml:space="preserve">04 42 72 19 90 </v>
      </c>
      <c r="L845" s="1">
        <v>44263</v>
      </c>
      <c r="M845" t="str">
        <f t="shared" si="138"/>
        <v>124</v>
      </c>
      <c r="N845" t="str">
        <f t="shared" si="139"/>
        <v>Centre de Santé</v>
      </c>
      <c r="O845" t="str">
        <f>"61"</f>
        <v>61</v>
      </c>
      <c r="P845" t="str">
        <f>"Association Loi 1901 Reconnue d'Utilité Publique"</f>
        <v>Association Loi 1901 Reconnue d'Utilité Publique</v>
      </c>
      <c r="Q845" t="str">
        <f t="shared" si="140"/>
        <v>36</v>
      </c>
      <c r="R845" t="str">
        <f t="shared" si="141"/>
        <v>Tarifs conventionnels assurance maladie</v>
      </c>
      <c r="U845" t="str">
        <f>"130051550"</f>
        <v>130051550</v>
      </c>
    </row>
    <row r="846" spans="1:21" x14ac:dyDescent="0.3">
      <c r="A846" t="str">
        <f>"930030507"</f>
        <v>930030507</v>
      </c>
      <c r="B846" t="str">
        <f>"891 089 955 00027"</f>
        <v>891 089 955 00027</v>
      </c>
      <c r="D846" t="str">
        <f>"CDS DE L HOTEL DE VILLE DE BOBIGNY"</f>
        <v>CDS DE L HOTEL DE VILLE DE BOBIGNY</v>
      </c>
      <c r="F846" t="str">
        <f>"2 AVENUE PAUL ELUARD"</f>
        <v>2 AVENUE PAUL ELUARD</v>
      </c>
      <c r="H846" t="str">
        <f>"93000"</f>
        <v>93000</v>
      </c>
      <c r="I846" t="str">
        <f>"BOBIGNY"</f>
        <v>BOBIGNY</v>
      </c>
      <c r="J846" t="str">
        <f>"01 42 11 11 02 "</f>
        <v xml:space="preserve">01 42 11 11 02 </v>
      </c>
      <c r="L846" s="1">
        <v>44263</v>
      </c>
      <c r="M846" t="str">
        <f t="shared" si="138"/>
        <v>124</v>
      </c>
      <c r="N846" t="str">
        <f t="shared" si="139"/>
        <v>Centre de Santé</v>
      </c>
      <c r="O846" t="str">
        <f>"60"</f>
        <v>60</v>
      </c>
      <c r="P846" t="str">
        <f>"Association Loi 1901 non Reconnue d'Utilité Publique"</f>
        <v>Association Loi 1901 non Reconnue d'Utilité Publique</v>
      </c>
      <c r="Q846" t="str">
        <f t="shared" si="140"/>
        <v>36</v>
      </c>
      <c r="R846" t="str">
        <f t="shared" si="141"/>
        <v>Tarifs conventionnels assurance maladie</v>
      </c>
      <c r="U846" t="str">
        <f>"930030481"</f>
        <v>930030481</v>
      </c>
    </row>
    <row r="847" spans="1:21" x14ac:dyDescent="0.3">
      <c r="A847" t="str">
        <f>"690049937"</f>
        <v>690049937</v>
      </c>
      <c r="B847" t="str">
        <f>"888 034 576 00023"</f>
        <v>888 034 576 00023</v>
      </c>
      <c r="D847" t="str">
        <f>"CENTRE DE SANTE DENTAL IN VILLEURBANNE"</f>
        <v>CENTRE DE SANTE DENTAL IN VILLEURBANNE</v>
      </c>
      <c r="F847" t="str">
        <f>"79 BOULEVARD DE STALINGRAD"</f>
        <v>79 BOULEVARD DE STALINGRAD</v>
      </c>
      <c r="H847" t="str">
        <f>"69100"</f>
        <v>69100</v>
      </c>
      <c r="I847" t="str">
        <f>"VILLEURBANNE"</f>
        <v>VILLEURBANNE</v>
      </c>
      <c r="L847" s="1">
        <v>44259</v>
      </c>
      <c r="M847" t="str">
        <f t="shared" si="138"/>
        <v>124</v>
      </c>
      <c r="N847" t="str">
        <f t="shared" si="139"/>
        <v>Centre de Santé</v>
      </c>
      <c r="O847" t="str">
        <f>"60"</f>
        <v>60</v>
      </c>
      <c r="P847" t="str">
        <f>"Association Loi 1901 non Reconnue d'Utilité Publique"</f>
        <v>Association Loi 1901 non Reconnue d'Utilité Publique</v>
      </c>
      <c r="Q847" t="str">
        <f t="shared" si="140"/>
        <v>36</v>
      </c>
      <c r="R847" t="str">
        <f t="shared" si="141"/>
        <v>Tarifs conventionnels assurance maladie</v>
      </c>
      <c r="U847" t="str">
        <f>"690049929"</f>
        <v>690049929</v>
      </c>
    </row>
    <row r="848" spans="1:21" x14ac:dyDescent="0.3">
      <c r="A848" t="str">
        <f>"950045112"</f>
        <v>950045112</v>
      </c>
      <c r="B848" t="str">
        <f>"880 332 895 00023"</f>
        <v>880 332 895 00023</v>
      </c>
      <c r="D848" t="str">
        <f>"CDS DENTAIRE MONTMORENCY"</f>
        <v>CDS DENTAIRE MONTMORENCY</v>
      </c>
      <c r="F848" t="str">
        <f>"168 AVENUE DE LA DIVISION LECLERC"</f>
        <v>168 AVENUE DE LA DIVISION LECLERC</v>
      </c>
      <c r="H848" t="str">
        <f>"95160"</f>
        <v>95160</v>
      </c>
      <c r="I848" t="str">
        <f>"MONTMORENCY"</f>
        <v>MONTMORENCY</v>
      </c>
      <c r="J848" t="str">
        <f>"06 28 27 22 83 "</f>
        <v xml:space="preserve">06 28 27 22 83 </v>
      </c>
      <c r="L848" s="1">
        <v>44257</v>
      </c>
      <c r="M848" t="str">
        <f t="shared" si="138"/>
        <v>124</v>
      </c>
      <c r="N848" t="str">
        <f t="shared" si="139"/>
        <v>Centre de Santé</v>
      </c>
      <c r="O848" t="str">
        <f>"60"</f>
        <v>60</v>
      </c>
      <c r="P848" t="str">
        <f>"Association Loi 1901 non Reconnue d'Utilité Publique"</f>
        <v>Association Loi 1901 non Reconnue d'Utilité Publique</v>
      </c>
      <c r="Q848" t="str">
        <f t="shared" si="140"/>
        <v>36</v>
      </c>
      <c r="R848" t="str">
        <f t="shared" si="141"/>
        <v>Tarifs conventionnels assurance maladie</v>
      </c>
      <c r="U848" t="str">
        <f>"950045104"</f>
        <v>950045104</v>
      </c>
    </row>
    <row r="849" spans="1:21" x14ac:dyDescent="0.3">
      <c r="A849" t="str">
        <f>"060030129"</f>
        <v>060030129</v>
      </c>
      <c r="B849" t="str">
        <f>"877 721 415 00017"</f>
        <v>877 721 415 00017</v>
      </c>
      <c r="D849" t="str">
        <f>"CDS POLYVALENT NICE LIBERATION"</f>
        <v>CDS POLYVALENT NICE LIBERATION</v>
      </c>
      <c r="F849" t="str">
        <f>"1 ALLEE CHARLES PASQUA"</f>
        <v>1 ALLEE CHARLES PASQUA</v>
      </c>
      <c r="H849" t="str">
        <f>"06200"</f>
        <v>06200</v>
      </c>
      <c r="I849" t="str">
        <f>"NICE"</f>
        <v>NICE</v>
      </c>
      <c r="L849" s="1">
        <v>44256</v>
      </c>
      <c r="M849" t="str">
        <f t="shared" si="138"/>
        <v>124</v>
      </c>
      <c r="N849" t="str">
        <f t="shared" si="139"/>
        <v>Centre de Santé</v>
      </c>
      <c r="O849" t="str">
        <f>"61"</f>
        <v>61</v>
      </c>
      <c r="P849" t="str">
        <f>"Association Loi 1901 Reconnue d'Utilité Publique"</f>
        <v>Association Loi 1901 Reconnue d'Utilité Publique</v>
      </c>
      <c r="Q849" t="str">
        <f t="shared" si="140"/>
        <v>36</v>
      </c>
      <c r="R849" t="str">
        <f t="shared" si="141"/>
        <v>Tarifs conventionnels assurance maladie</v>
      </c>
      <c r="U849" t="str">
        <f>"060030111"</f>
        <v>060030111</v>
      </c>
    </row>
    <row r="850" spans="1:21" x14ac:dyDescent="0.3">
      <c r="A850" t="str">
        <f>"240018044"</f>
        <v>240018044</v>
      </c>
      <c r="B850" t="str">
        <f>"242 400 935 00076"</f>
        <v>242 400 935 00076</v>
      </c>
      <c r="D850" t="str">
        <f>"CIS DU PAYS DE SAINT AULAYE"</f>
        <v>CIS DU PAYS DE SAINT AULAYE</v>
      </c>
      <c r="F850" t="str">
        <f>"RUE DU MOULIN"</f>
        <v>RUE DU MOULIN</v>
      </c>
      <c r="H850" t="str">
        <f>"24410"</f>
        <v>24410</v>
      </c>
      <c r="I850" t="str">
        <f>"ST AULAYE PUYMANGOU"</f>
        <v>ST AULAYE PUYMANGOU</v>
      </c>
      <c r="J850" t="str">
        <f>"05 24 14 80 00 "</f>
        <v xml:space="preserve">05 24 14 80 00 </v>
      </c>
      <c r="L850" s="1">
        <v>44256</v>
      </c>
      <c r="M850" t="str">
        <f t="shared" si="138"/>
        <v>124</v>
      </c>
      <c r="N850" t="str">
        <f t="shared" si="139"/>
        <v>Centre de Santé</v>
      </c>
      <c r="O850" t="str">
        <f>"22"</f>
        <v>22</v>
      </c>
      <c r="P850" t="str">
        <f>"Etablissement Social et Médico-Social Intercommunal"</f>
        <v>Etablissement Social et Médico-Social Intercommunal</v>
      </c>
      <c r="Q850" t="str">
        <f t="shared" si="140"/>
        <v>36</v>
      </c>
      <c r="R850" t="str">
        <f t="shared" si="141"/>
        <v>Tarifs conventionnels assurance maladie</v>
      </c>
      <c r="U850" t="str">
        <f>"240014365"</f>
        <v>240014365</v>
      </c>
    </row>
    <row r="851" spans="1:21" x14ac:dyDescent="0.3">
      <c r="A851" t="str">
        <f>"310032628"</f>
        <v>310032628</v>
      </c>
      <c r="D851" t="str">
        <f>"CENTRE DE SANTE MONIE"</f>
        <v>CENTRE DE SANTE MONIE</v>
      </c>
      <c r="F851" t="str">
        <f>"ROUTE DE REVEL"</f>
        <v>ROUTE DE REVEL</v>
      </c>
      <c r="H851" t="str">
        <f>"31290"</f>
        <v>31290</v>
      </c>
      <c r="I851" t="str">
        <f>"VILLEFRANCHE DE LAURAGAIS"</f>
        <v>VILLEFRANCHE DE LAURAGAIS</v>
      </c>
      <c r="J851" t="str">
        <f>"06 08 90 26 25 "</f>
        <v xml:space="preserve">06 08 90 26 25 </v>
      </c>
      <c r="L851" s="1">
        <v>44256</v>
      </c>
      <c r="M851" t="str">
        <f t="shared" si="138"/>
        <v>124</v>
      </c>
      <c r="N851" t="str">
        <f t="shared" si="139"/>
        <v>Centre de Santé</v>
      </c>
      <c r="O851" t="str">
        <f>"95"</f>
        <v>95</v>
      </c>
      <c r="P851" t="str">
        <f>"Société par Actions Simplifiée (S.A.S.)"</f>
        <v>Société par Actions Simplifiée (S.A.S.)</v>
      </c>
      <c r="Q851" t="str">
        <f t="shared" si="140"/>
        <v>36</v>
      </c>
      <c r="R851" t="str">
        <f t="shared" si="141"/>
        <v>Tarifs conventionnels assurance maladie</v>
      </c>
      <c r="U851" t="str">
        <f>"310000153"</f>
        <v>310000153</v>
      </c>
    </row>
    <row r="852" spans="1:21" x14ac:dyDescent="0.3">
      <c r="A852" t="str">
        <f>"430009373"</f>
        <v>430009373</v>
      </c>
      <c r="B852" t="str">
        <f>"214 300 519 00011"</f>
        <v>214 300 519 00011</v>
      </c>
      <c r="D852" t="str">
        <f>"CENTRE DE SANTE DU CHAMBON SUR LIGNON"</f>
        <v>CENTRE DE SANTE DU CHAMBON SUR LIGNON</v>
      </c>
      <c r="F852" t="str">
        <f>"22 ROUTE DE SAINT AGREVE"</f>
        <v>22 ROUTE DE SAINT AGREVE</v>
      </c>
      <c r="H852" t="str">
        <f>"43400"</f>
        <v>43400</v>
      </c>
      <c r="I852" t="str">
        <f>"LE CHAMBON SUR LIGNON"</f>
        <v>LE CHAMBON SUR LIGNON</v>
      </c>
      <c r="J852" t="str">
        <f>"04 71 65 71 49 "</f>
        <v xml:space="preserve">04 71 65 71 49 </v>
      </c>
      <c r="L852" s="1">
        <v>44256</v>
      </c>
      <c r="M852" t="str">
        <f t="shared" si="138"/>
        <v>124</v>
      </c>
      <c r="N852" t="str">
        <f t="shared" si="139"/>
        <v>Centre de Santé</v>
      </c>
      <c r="O852" t="str">
        <f>"03"</f>
        <v>03</v>
      </c>
      <c r="P852" t="str">
        <f>"Commune"</f>
        <v>Commune</v>
      </c>
      <c r="Q852" t="str">
        <f t="shared" si="140"/>
        <v>36</v>
      </c>
      <c r="R852" t="str">
        <f t="shared" si="141"/>
        <v>Tarifs conventionnels assurance maladie</v>
      </c>
      <c r="U852" t="str">
        <f>"430009365"</f>
        <v>430009365</v>
      </c>
    </row>
    <row r="853" spans="1:21" x14ac:dyDescent="0.3">
      <c r="A853" t="str">
        <f>"660012220"</f>
        <v>660012220</v>
      </c>
      <c r="D853" t="str">
        <f>"CENTRE DE SANTE DENTAIRE VERTUO CLAIRA"</f>
        <v>CENTRE DE SANTE DENTAIRE VERTUO CLAIRA</v>
      </c>
      <c r="F853" t="str">
        <f>"ROUTE DU BARCARES"</f>
        <v>ROUTE DU BARCARES</v>
      </c>
      <c r="G853" t="str">
        <f>"CENTRE COMMERCIAL CARREFOUR"</f>
        <v>CENTRE COMMERCIAL CARREFOUR</v>
      </c>
      <c r="H853" t="str">
        <f>"66530"</f>
        <v>66530</v>
      </c>
      <c r="I853" t="str">
        <f>"CLAIRA"</f>
        <v>CLAIRA</v>
      </c>
      <c r="J853" t="str">
        <f>"06 79 84 20 31 "</f>
        <v xml:space="preserve">06 79 84 20 31 </v>
      </c>
      <c r="L853" s="1">
        <v>44256</v>
      </c>
      <c r="M853" t="str">
        <f t="shared" si="138"/>
        <v>124</v>
      </c>
      <c r="N853" t="str">
        <f t="shared" si="139"/>
        <v>Centre de Santé</v>
      </c>
      <c r="O853" t="str">
        <f t="shared" ref="O853:O858" si="144">"60"</f>
        <v>60</v>
      </c>
      <c r="P853" t="str">
        <f t="shared" ref="P853:P858" si="145">"Association Loi 1901 non Reconnue d'Utilité Publique"</f>
        <v>Association Loi 1901 non Reconnue d'Utilité Publique</v>
      </c>
      <c r="Q853" t="str">
        <f t="shared" si="140"/>
        <v>36</v>
      </c>
      <c r="R853" t="str">
        <f t="shared" si="141"/>
        <v>Tarifs conventionnels assurance maladie</v>
      </c>
      <c r="U853" t="str">
        <f>"660012212"</f>
        <v>660012212</v>
      </c>
    </row>
    <row r="854" spans="1:21" x14ac:dyDescent="0.3">
      <c r="A854" t="str">
        <f>"750066714"</f>
        <v>750066714</v>
      </c>
      <c r="B854" t="str">
        <f>"889 351 961 00012"</f>
        <v>889 351 961 00012</v>
      </c>
      <c r="D854" t="str">
        <f>"CDS DENTAIRE VAUGIRARD CONVENTION"</f>
        <v>CDS DENTAIRE VAUGIRARD CONVENTION</v>
      </c>
      <c r="F854" t="str">
        <f>"237 RUE DE VAUGIRARD"</f>
        <v>237 RUE DE VAUGIRARD</v>
      </c>
      <c r="H854" t="str">
        <f>"75015"</f>
        <v>75015</v>
      </c>
      <c r="I854" t="str">
        <f>"PARIS"</f>
        <v>PARIS</v>
      </c>
      <c r="J854" t="str">
        <f>"01 83 75 23 55 "</f>
        <v xml:space="preserve">01 83 75 23 55 </v>
      </c>
      <c r="L854" s="1">
        <v>44256</v>
      </c>
      <c r="M854" t="str">
        <f t="shared" si="138"/>
        <v>124</v>
      </c>
      <c r="N854" t="str">
        <f t="shared" si="139"/>
        <v>Centre de Santé</v>
      </c>
      <c r="O854" t="str">
        <f t="shared" si="144"/>
        <v>60</v>
      </c>
      <c r="P854" t="str">
        <f t="shared" si="145"/>
        <v>Association Loi 1901 non Reconnue d'Utilité Publique</v>
      </c>
      <c r="Q854" t="str">
        <f t="shared" si="140"/>
        <v>36</v>
      </c>
      <c r="R854" t="str">
        <f t="shared" si="141"/>
        <v>Tarifs conventionnels assurance maladie</v>
      </c>
      <c r="U854" t="str">
        <f>"750066706"</f>
        <v>750066706</v>
      </c>
    </row>
    <row r="855" spans="1:21" x14ac:dyDescent="0.3">
      <c r="A855" t="str">
        <f>"780028080"</f>
        <v>780028080</v>
      </c>
      <c r="B855" t="str">
        <f>"889 728 564 00028"</f>
        <v>889 728 564 00028</v>
      </c>
      <c r="D855" t="str">
        <f>"CDS DENTAIRE DENTAPTE LES MUREAUX"</f>
        <v>CDS DENTAIRE DENTAPTE LES MUREAUX</v>
      </c>
      <c r="F855" t="str">
        <f>"47 AVENUE PAUL RAOULT"</f>
        <v>47 AVENUE PAUL RAOULT</v>
      </c>
      <c r="H855" t="str">
        <f>"78130"</f>
        <v>78130</v>
      </c>
      <c r="I855" t="str">
        <f>"LES MUREAUX"</f>
        <v>LES MUREAUX</v>
      </c>
      <c r="J855" t="str">
        <f>"01 34 74 38 50 "</f>
        <v xml:space="preserve">01 34 74 38 50 </v>
      </c>
      <c r="L855" s="1">
        <v>44256</v>
      </c>
      <c r="M855" t="str">
        <f t="shared" si="138"/>
        <v>124</v>
      </c>
      <c r="N855" t="str">
        <f t="shared" si="139"/>
        <v>Centre de Santé</v>
      </c>
      <c r="O855" t="str">
        <f t="shared" si="144"/>
        <v>60</v>
      </c>
      <c r="P855" t="str">
        <f t="shared" si="145"/>
        <v>Association Loi 1901 non Reconnue d'Utilité Publique</v>
      </c>
      <c r="Q855" t="str">
        <f t="shared" si="140"/>
        <v>36</v>
      </c>
      <c r="R855" t="str">
        <f t="shared" si="141"/>
        <v>Tarifs conventionnels assurance maladie</v>
      </c>
      <c r="U855" t="str">
        <f>"780029252"</f>
        <v>780029252</v>
      </c>
    </row>
    <row r="856" spans="1:21" x14ac:dyDescent="0.3">
      <c r="A856" t="str">
        <f>"920036886"</f>
        <v>920036886</v>
      </c>
      <c r="B856" t="str">
        <f>"890 328 263 00011"</f>
        <v>890 328 263 00011</v>
      </c>
      <c r="D856" t="str">
        <f>"CDS INSTANT VISION LEVALLOIS PERRET"</f>
        <v>CDS INSTANT VISION LEVALLOIS PERRET</v>
      </c>
      <c r="F856" t="str">
        <f>"54 RUE LOUIS ROUQUIER"</f>
        <v>54 RUE LOUIS ROUQUIER</v>
      </c>
      <c r="H856" t="str">
        <f>"92300"</f>
        <v>92300</v>
      </c>
      <c r="I856" t="str">
        <f>"LEVALLOIS PERRET"</f>
        <v>LEVALLOIS PERRET</v>
      </c>
      <c r="J856" t="str">
        <f>"01 84 20 42 45 "</f>
        <v xml:space="preserve">01 84 20 42 45 </v>
      </c>
      <c r="L856" s="1">
        <v>44256</v>
      </c>
      <c r="M856" t="str">
        <f t="shared" si="138"/>
        <v>124</v>
      </c>
      <c r="N856" t="str">
        <f t="shared" si="139"/>
        <v>Centre de Santé</v>
      </c>
      <c r="O856" t="str">
        <f t="shared" si="144"/>
        <v>60</v>
      </c>
      <c r="P856" t="str">
        <f t="shared" si="145"/>
        <v>Association Loi 1901 non Reconnue d'Utilité Publique</v>
      </c>
      <c r="Q856" t="str">
        <f t="shared" si="140"/>
        <v>36</v>
      </c>
      <c r="R856" t="str">
        <f t="shared" si="141"/>
        <v>Tarifs conventionnels assurance maladie</v>
      </c>
      <c r="U856" t="str">
        <f>"920036878"</f>
        <v>920036878</v>
      </c>
    </row>
    <row r="857" spans="1:21" x14ac:dyDescent="0.3">
      <c r="A857" t="str">
        <f>"970214599"</f>
        <v>970214599</v>
      </c>
      <c r="D857" t="str">
        <f>"CENTRE DE SANTE DENTAIRE HYGIDENT"</f>
        <v>CENTRE DE SANTE DENTAIRE HYGIDENT</v>
      </c>
      <c r="F857" t="str">
        <f>"ROUTE DU PHARE"</f>
        <v>ROUTE DU PHARE</v>
      </c>
      <c r="G857" t="str">
        <f>"BLD DE LA POINTE DES NEGRÈS"</f>
        <v>BLD DE LA POINTE DES NEGRÈS</v>
      </c>
      <c r="H857" t="str">
        <f>"97233"</f>
        <v>97233</v>
      </c>
      <c r="I857" t="str">
        <f>"SCHOELCHER"</f>
        <v>SCHOELCHER</v>
      </c>
      <c r="J857" t="str">
        <f>"06 96 80 43 53 "</f>
        <v xml:space="preserve">06 96 80 43 53 </v>
      </c>
      <c r="L857" s="1">
        <v>44256</v>
      </c>
      <c r="M857" t="str">
        <f t="shared" si="138"/>
        <v>124</v>
      </c>
      <c r="N857" t="str">
        <f t="shared" si="139"/>
        <v>Centre de Santé</v>
      </c>
      <c r="O857" t="str">
        <f t="shared" si="144"/>
        <v>60</v>
      </c>
      <c r="P857" t="str">
        <f t="shared" si="145"/>
        <v>Association Loi 1901 non Reconnue d'Utilité Publique</v>
      </c>
      <c r="Q857" t="str">
        <f t="shared" si="140"/>
        <v>36</v>
      </c>
      <c r="R857" t="str">
        <f t="shared" si="141"/>
        <v>Tarifs conventionnels assurance maladie</v>
      </c>
      <c r="U857" t="str">
        <f>"970214581"</f>
        <v>970214581</v>
      </c>
    </row>
    <row r="858" spans="1:21" x14ac:dyDescent="0.3">
      <c r="A858" t="str">
        <f>"970214615"</f>
        <v>970214615</v>
      </c>
      <c r="B858" t="str">
        <f>"901 977 348 00019"</f>
        <v>901 977 348 00019</v>
      </c>
      <c r="D858" t="str">
        <f>"CENTRE DE SANTE OPHTALMOLOGIQUE"</f>
        <v>CENTRE DE SANTE OPHTALMOLOGIQUE</v>
      </c>
      <c r="F858" t="str">
        <f>"ROUTE DU PHARE"</f>
        <v>ROUTE DU PHARE</v>
      </c>
      <c r="G858" t="str">
        <f>"BLD DE LA POINTE DES NEGRÈS"</f>
        <v>BLD DE LA POINTE DES NEGRÈS</v>
      </c>
      <c r="H858" t="str">
        <f>"97233"</f>
        <v>97233</v>
      </c>
      <c r="I858" t="str">
        <f>"SCHOELCHER"</f>
        <v>SCHOELCHER</v>
      </c>
      <c r="J858" t="str">
        <f>"06 96 80 43 53 "</f>
        <v xml:space="preserve">06 96 80 43 53 </v>
      </c>
      <c r="L858" s="1">
        <v>44256</v>
      </c>
      <c r="M858" t="str">
        <f t="shared" si="138"/>
        <v>124</v>
      </c>
      <c r="N858" t="str">
        <f t="shared" si="139"/>
        <v>Centre de Santé</v>
      </c>
      <c r="O858" t="str">
        <f t="shared" si="144"/>
        <v>60</v>
      </c>
      <c r="P858" t="str">
        <f t="shared" si="145"/>
        <v>Association Loi 1901 non Reconnue d'Utilité Publique</v>
      </c>
      <c r="Q858" t="str">
        <f t="shared" si="140"/>
        <v>36</v>
      </c>
      <c r="R858" t="str">
        <f t="shared" si="141"/>
        <v>Tarifs conventionnels assurance maladie</v>
      </c>
      <c r="U858" t="str">
        <f>"970214607"</f>
        <v>970214607</v>
      </c>
    </row>
    <row r="859" spans="1:21" x14ac:dyDescent="0.3">
      <c r="A859" t="str">
        <f>"140033176"</f>
        <v>140033176</v>
      </c>
      <c r="B859" t="str">
        <f>"200 069 532 00014"</f>
        <v>200 069 532 00014</v>
      </c>
      <c r="D859" t="str">
        <f>"CENTRE DE SANTÉ DE CAMBREMER"</f>
        <v>CENTRE DE SANTÉ DE CAMBREMER</v>
      </c>
      <c r="F859" t="str">
        <f>"8 AVENUE DES TILLEULS"</f>
        <v>8 AVENUE DES TILLEULS</v>
      </c>
      <c r="H859" t="str">
        <f>"14340"</f>
        <v>14340</v>
      </c>
      <c r="I859" t="str">
        <f>"CAMBREMER"</f>
        <v>CAMBREMER</v>
      </c>
      <c r="L859" s="1">
        <v>44250</v>
      </c>
      <c r="M859" t="str">
        <f t="shared" si="138"/>
        <v>124</v>
      </c>
      <c r="N859" t="str">
        <f t="shared" si="139"/>
        <v>Centre de Santé</v>
      </c>
      <c r="O859" t="str">
        <f>"26"</f>
        <v>26</v>
      </c>
      <c r="P859" t="str">
        <f>"Autre Etablissement Public à Caractère Administratif"</f>
        <v>Autre Etablissement Public à Caractère Administratif</v>
      </c>
      <c r="Q859" t="str">
        <f t="shared" si="140"/>
        <v>36</v>
      </c>
      <c r="R859" t="str">
        <f t="shared" si="141"/>
        <v>Tarifs conventionnels assurance maladie</v>
      </c>
      <c r="U859" t="str">
        <f>"140032509"</f>
        <v>140032509</v>
      </c>
    </row>
    <row r="860" spans="1:21" x14ac:dyDescent="0.3">
      <c r="A860" t="str">
        <f>"920037090"</f>
        <v>920037090</v>
      </c>
      <c r="B860" t="str">
        <f>"884 587 437 00028"</f>
        <v>884 587 437 00028</v>
      </c>
      <c r="D860" t="str">
        <f>"CDS NANTERRE UNIVERSITE"</f>
        <v>CDS NANTERRE UNIVERSITE</v>
      </c>
      <c r="E860" t="str">
        <f>"187-195"</f>
        <v>187-195</v>
      </c>
      <c r="F860" t="str">
        <f>"187 BOULEVARD DES PROVINCES FRANCAISES"</f>
        <v>187 BOULEVARD DES PROVINCES FRANCAISES</v>
      </c>
      <c r="H860" t="str">
        <f>"92000"</f>
        <v>92000</v>
      </c>
      <c r="I860" t="str">
        <f>"NANTERRE"</f>
        <v>NANTERRE</v>
      </c>
      <c r="J860" t="str">
        <f>"07 69 84 36 76 "</f>
        <v xml:space="preserve">07 69 84 36 76 </v>
      </c>
      <c r="L860" s="1">
        <v>44245</v>
      </c>
      <c r="M860" t="str">
        <f t="shared" si="138"/>
        <v>124</v>
      </c>
      <c r="N860" t="str">
        <f t="shared" si="139"/>
        <v>Centre de Santé</v>
      </c>
      <c r="O860" t="str">
        <f>"60"</f>
        <v>60</v>
      </c>
      <c r="P860" t="str">
        <f>"Association Loi 1901 non Reconnue d'Utilité Publique"</f>
        <v>Association Loi 1901 non Reconnue d'Utilité Publique</v>
      </c>
      <c r="Q860" t="str">
        <f t="shared" si="140"/>
        <v>36</v>
      </c>
      <c r="R860" t="str">
        <f t="shared" si="141"/>
        <v>Tarifs conventionnels assurance maladie</v>
      </c>
      <c r="U860" t="str">
        <f>"920037082"</f>
        <v>920037082</v>
      </c>
    </row>
    <row r="861" spans="1:21" x14ac:dyDescent="0.3">
      <c r="A861" t="str">
        <f>"800020976"</f>
        <v>800020976</v>
      </c>
      <c r="B861" t="str">
        <f>"890 731 813 00022"</f>
        <v>890 731 813 00022</v>
      </c>
      <c r="D861" t="str">
        <f>"CENTRE DENTAIRE AMIENS"</f>
        <v>CENTRE DENTAIRE AMIENS</v>
      </c>
      <c r="F861" t="str">
        <f>"21 BOULEVARD AMBROISE PARÉ"</f>
        <v>21 BOULEVARD AMBROISE PARÉ</v>
      </c>
      <c r="H861" t="str">
        <f>"80000"</f>
        <v>80000</v>
      </c>
      <c r="I861" t="str">
        <f>"AMIENS"</f>
        <v>AMIENS</v>
      </c>
      <c r="J861" t="str">
        <f>"03 75 69 06 10 "</f>
        <v xml:space="preserve">03 75 69 06 10 </v>
      </c>
      <c r="L861" s="1">
        <v>44243</v>
      </c>
      <c r="M861" t="str">
        <f t="shared" si="138"/>
        <v>124</v>
      </c>
      <c r="N861" t="str">
        <f t="shared" si="139"/>
        <v>Centre de Santé</v>
      </c>
      <c r="O861" t="str">
        <f>"61"</f>
        <v>61</v>
      </c>
      <c r="P861" t="str">
        <f>"Association Loi 1901 Reconnue d'Utilité Publique"</f>
        <v>Association Loi 1901 Reconnue d'Utilité Publique</v>
      </c>
      <c r="Q861" t="str">
        <f t="shared" si="140"/>
        <v>36</v>
      </c>
      <c r="R861" t="str">
        <f t="shared" si="141"/>
        <v>Tarifs conventionnels assurance maladie</v>
      </c>
      <c r="U861" t="str">
        <f>"800020968"</f>
        <v>800020968</v>
      </c>
    </row>
    <row r="862" spans="1:21" x14ac:dyDescent="0.3">
      <c r="A862" t="str">
        <f>"780027926"</f>
        <v>780027926</v>
      </c>
      <c r="B862" t="str">
        <f>"878 924 331 00027"</f>
        <v>878 924 331 00027</v>
      </c>
      <c r="D862" t="str">
        <f>"CDS DENTAIRE VERSAILLES CLEMENCEAU"</f>
        <v>CDS DENTAIRE VERSAILLES CLEMENCEAU</v>
      </c>
      <c r="E862" t="str">
        <f>"1-3"</f>
        <v>1-3</v>
      </c>
      <c r="F862" t="str">
        <f>"1 RUE GEORGES CLEMENCEAU"</f>
        <v>1 RUE GEORGES CLEMENCEAU</v>
      </c>
      <c r="H862" t="str">
        <f>"78000"</f>
        <v>78000</v>
      </c>
      <c r="I862" t="str">
        <f>"VERSAILLES"</f>
        <v>VERSAILLES</v>
      </c>
      <c r="J862" t="str">
        <f>"01 78 30 18 00 "</f>
        <v xml:space="preserve">01 78 30 18 00 </v>
      </c>
      <c r="L862" s="1">
        <v>44242</v>
      </c>
      <c r="M862" t="str">
        <f t="shared" si="138"/>
        <v>124</v>
      </c>
      <c r="N862" t="str">
        <f t="shared" si="139"/>
        <v>Centre de Santé</v>
      </c>
      <c r="O862" t="str">
        <f t="shared" ref="O862:O867" si="146">"60"</f>
        <v>60</v>
      </c>
      <c r="P862" t="str">
        <f t="shared" ref="P862:P867" si="147">"Association Loi 1901 non Reconnue d'Utilité Publique"</f>
        <v>Association Loi 1901 non Reconnue d'Utilité Publique</v>
      </c>
      <c r="Q862" t="str">
        <f t="shared" si="140"/>
        <v>36</v>
      </c>
      <c r="R862" t="str">
        <f t="shared" si="141"/>
        <v>Tarifs conventionnels assurance maladie</v>
      </c>
      <c r="U862" t="str">
        <f>"780028429"</f>
        <v>780028429</v>
      </c>
    </row>
    <row r="863" spans="1:21" x14ac:dyDescent="0.3">
      <c r="A863" t="str">
        <f>"780027835"</f>
        <v>780027835</v>
      </c>
      <c r="B863" t="str">
        <f>"830 073 276 00206"</f>
        <v>830 073 276 00206</v>
      </c>
      <c r="D863" t="str">
        <f>"CDS DENTAIRE VERSAILLES"</f>
        <v>CDS DENTAIRE VERSAILLES</v>
      </c>
      <c r="F863" t="str">
        <f>"32 RUE DU MARECHAL FOCH"</f>
        <v>32 RUE DU MARECHAL FOCH</v>
      </c>
      <c r="H863" t="str">
        <f>"78000"</f>
        <v>78000</v>
      </c>
      <c r="I863" t="str">
        <f>"VERSAILLES"</f>
        <v>VERSAILLES</v>
      </c>
      <c r="J863" t="str">
        <f>"01 84 73 07 03 "</f>
        <v xml:space="preserve">01 84 73 07 03 </v>
      </c>
      <c r="L863" s="1">
        <v>44237</v>
      </c>
      <c r="M863" t="str">
        <f t="shared" si="138"/>
        <v>124</v>
      </c>
      <c r="N863" t="str">
        <f t="shared" si="139"/>
        <v>Centre de Santé</v>
      </c>
      <c r="O863" t="str">
        <f t="shared" si="146"/>
        <v>60</v>
      </c>
      <c r="P863" t="str">
        <f t="shared" si="147"/>
        <v>Association Loi 1901 non Reconnue d'Utilité Publique</v>
      </c>
      <c r="Q863" t="str">
        <f t="shared" si="140"/>
        <v>36</v>
      </c>
      <c r="R863" t="str">
        <f t="shared" si="141"/>
        <v>Tarifs conventionnels assurance maladie</v>
      </c>
      <c r="U863" t="str">
        <f>"750060345"</f>
        <v>750060345</v>
      </c>
    </row>
    <row r="864" spans="1:21" x14ac:dyDescent="0.3">
      <c r="A864" t="str">
        <f>"760039057"</f>
        <v>760039057</v>
      </c>
      <c r="B864" t="str">
        <f>"890 286 909 00019"</f>
        <v>890 286 909 00019</v>
      </c>
      <c r="D864" t="str">
        <f>"CENTRE DE SANTÉ DENTAIRE"</f>
        <v>CENTRE DE SANTÉ DENTAIRE</v>
      </c>
      <c r="F864" t="str">
        <f>"37 RUE LOUIS BRINDEAU"</f>
        <v>37 RUE LOUIS BRINDEAU</v>
      </c>
      <c r="H864" t="str">
        <f>"76600"</f>
        <v>76600</v>
      </c>
      <c r="I864" t="str">
        <f>"LE HAVRE"</f>
        <v>LE HAVRE</v>
      </c>
      <c r="J864" t="str">
        <f>"06 59 05 42 15 "</f>
        <v xml:space="preserve">06 59 05 42 15 </v>
      </c>
      <c r="L864" s="1">
        <v>44236</v>
      </c>
      <c r="M864" t="str">
        <f t="shared" si="138"/>
        <v>124</v>
      </c>
      <c r="N864" t="str">
        <f t="shared" si="139"/>
        <v>Centre de Santé</v>
      </c>
      <c r="O864" t="str">
        <f t="shared" si="146"/>
        <v>60</v>
      </c>
      <c r="P864" t="str">
        <f t="shared" si="147"/>
        <v>Association Loi 1901 non Reconnue d'Utilité Publique</v>
      </c>
      <c r="Q864" t="str">
        <f t="shared" si="140"/>
        <v>36</v>
      </c>
      <c r="R864" t="str">
        <f t="shared" si="141"/>
        <v>Tarifs conventionnels assurance maladie</v>
      </c>
      <c r="U864" t="str">
        <f>"760039040"</f>
        <v>760039040</v>
      </c>
    </row>
    <row r="865" spans="1:21" x14ac:dyDescent="0.3">
      <c r="A865" t="str">
        <f>"970411443"</f>
        <v>970411443</v>
      </c>
      <c r="B865" t="str">
        <f>"880 994 041 00015"</f>
        <v>880 994 041 00015</v>
      </c>
      <c r="D865" t="str">
        <f>"LES SOURIRES DE CILAOS"</f>
        <v>LES SOURIRES DE CILAOS</v>
      </c>
      <c r="F865" t="str">
        <f>"23 RUE DE LA MARE A JONCS"</f>
        <v>23 RUE DE LA MARE A JONCS</v>
      </c>
      <c r="H865" t="str">
        <f>"97413"</f>
        <v>97413</v>
      </c>
      <c r="I865" t="str">
        <f>"CILAOS"</f>
        <v>CILAOS</v>
      </c>
      <c r="J865" t="str">
        <f>"06 93 44 86 10 "</f>
        <v xml:space="preserve">06 93 44 86 10 </v>
      </c>
      <c r="L865" s="1">
        <v>44236</v>
      </c>
      <c r="M865" t="str">
        <f t="shared" si="138"/>
        <v>124</v>
      </c>
      <c r="N865" t="str">
        <f t="shared" si="139"/>
        <v>Centre de Santé</v>
      </c>
      <c r="O865" t="str">
        <f t="shared" si="146"/>
        <v>60</v>
      </c>
      <c r="P865" t="str">
        <f t="shared" si="147"/>
        <v>Association Loi 1901 non Reconnue d'Utilité Publique</v>
      </c>
      <c r="Q865" t="str">
        <f t="shared" si="140"/>
        <v>36</v>
      </c>
      <c r="R865" t="str">
        <f t="shared" si="141"/>
        <v>Tarifs conventionnels assurance maladie</v>
      </c>
      <c r="U865" t="str">
        <f>"970411435"</f>
        <v>970411435</v>
      </c>
    </row>
    <row r="866" spans="1:21" x14ac:dyDescent="0.3">
      <c r="A866" t="str">
        <f>"130051204"</f>
        <v>130051204</v>
      </c>
      <c r="B866" t="str">
        <f>"814 635 082 00013"</f>
        <v>814 635 082 00013</v>
      </c>
      <c r="D866" t="str">
        <f>"CDS POLYVALENT CARA SANTE CANEBIERE"</f>
        <v>CDS POLYVALENT CARA SANTE CANEBIERE</v>
      </c>
      <c r="F866" t="str">
        <f>"54 LA CANEBIÈRE"</f>
        <v>54 LA CANEBIÈRE</v>
      </c>
      <c r="H866" t="str">
        <f>"13001"</f>
        <v>13001</v>
      </c>
      <c r="I866" t="str">
        <f>"MARSEILLE"</f>
        <v>MARSEILLE</v>
      </c>
      <c r="J866" t="str">
        <f>"06 20 42 60 86 "</f>
        <v xml:space="preserve">06 20 42 60 86 </v>
      </c>
      <c r="L866" s="1">
        <v>44235</v>
      </c>
      <c r="M866" t="str">
        <f t="shared" si="138"/>
        <v>124</v>
      </c>
      <c r="N866" t="str">
        <f t="shared" si="139"/>
        <v>Centre de Santé</v>
      </c>
      <c r="O866" t="str">
        <f t="shared" si="146"/>
        <v>60</v>
      </c>
      <c r="P866" t="str">
        <f t="shared" si="147"/>
        <v>Association Loi 1901 non Reconnue d'Utilité Publique</v>
      </c>
      <c r="Q866" t="str">
        <f t="shared" si="140"/>
        <v>36</v>
      </c>
      <c r="R866" t="str">
        <f t="shared" si="141"/>
        <v>Tarifs conventionnels assurance maladie</v>
      </c>
      <c r="U866" t="str">
        <f>"130045354"</f>
        <v>130045354</v>
      </c>
    </row>
    <row r="867" spans="1:21" x14ac:dyDescent="0.3">
      <c r="A867" t="str">
        <f>"920036837"</f>
        <v>920036837</v>
      </c>
      <c r="B867" t="str">
        <f>"883 674 426 00019"</f>
        <v>883 674 426 00019</v>
      </c>
      <c r="D867" t="str">
        <f>"CDS OPHTALMOLOGIE LOUISE MICHEL"</f>
        <v>CDS OPHTALMOLOGIE LOUISE MICHEL</v>
      </c>
      <c r="F867" t="str">
        <f>"22 RUE LOUISE MICHEL"</f>
        <v>22 RUE LOUISE MICHEL</v>
      </c>
      <c r="H867" t="str">
        <f>"92300"</f>
        <v>92300</v>
      </c>
      <c r="I867" t="str">
        <f>"LEVALLOIS PERRET"</f>
        <v>LEVALLOIS PERRET</v>
      </c>
      <c r="J867" t="str">
        <f>"06 34 23 96 12 "</f>
        <v xml:space="preserve">06 34 23 96 12 </v>
      </c>
      <c r="L867" s="1">
        <v>44235</v>
      </c>
      <c r="M867" t="str">
        <f t="shared" si="138"/>
        <v>124</v>
      </c>
      <c r="N867" t="str">
        <f t="shared" si="139"/>
        <v>Centre de Santé</v>
      </c>
      <c r="O867" t="str">
        <f t="shared" si="146"/>
        <v>60</v>
      </c>
      <c r="P867" t="str">
        <f t="shared" si="147"/>
        <v>Association Loi 1901 non Reconnue d'Utilité Publique</v>
      </c>
      <c r="Q867" t="str">
        <f t="shared" ref="Q867:Q898" si="148">"36"</f>
        <v>36</v>
      </c>
      <c r="R867" t="str">
        <f t="shared" ref="R867:R898" si="149">"Tarifs conventionnels assurance maladie"</f>
        <v>Tarifs conventionnels assurance maladie</v>
      </c>
      <c r="U867" t="str">
        <f>"920036829"</f>
        <v>920036829</v>
      </c>
    </row>
    <row r="868" spans="1:21" x14ac:dyDescent="0.3">
      <c r="A868" t="str">
        <f>"260022041"</f>
        <v>260022041</v>
      </c>
      <c r="B868" t="str">
        <f>"779 469 691 00165"</f>
        <v>779 469 691 00165</v>
      </c>
      <c r="D868" t="str">
        <f>"CENTRE DE SANTE DU DIACONAT PROTESTANT"</f>
        <v>CENTRE DE SANTE DU DIACONAT PROTESTANT</v>
      </c>
      <c r="F868" t="str">
        <f>"97 RUE FAVENTINES"</f>
        <v>97 RUE FAVENTINES</v>
      </c>
      <c r="H868" t="str">
        <f>"26000"</f>
        <v>26000</v>
      </c>
      <c r="I868" t="str">
        <f>"VALENCE"</f>
        <v>VALENCE</v>
      </c>
      <c r="L868" s="1">
        <v>44230</v>
      </c>
      <c r="M868" t="str">
        <f t="shared" si="138"/>
        <v>124</v>
      </c>
      <c r="N868" t="str">
        <f t="shared" si="139"/>
        <v>Centre de Santé</v>
      </c>
      <c r="O868" t="str">
        <f>"61"</f>
        <v>61</v>
      </c>
      <c r="P868" t="str">
        <f>"Association Loi 1901 Reconnue d'Utilité Publique"</f>
        <v>Association Loi 1901 Reconnue d'Utilité Publique</v>
      </c>
      <c r="Q868" t="str">
        <f t="shared" si="148"/>
        <v>36</v>
      </c>
      <c r="R868" t="str">
        <f t="shared" si="149"/>
        <v>Tarifs conventionnels assurance maladie</v>
      </c>
      <c r="U868" t="str">
        <f>"260006960"</f>
        <v>260006960</v>
      </c>
    </row>
    <row r="869" spans="1:21" x14ac:dyDescent="0.3">
      <c r="A869" t="str">
        <f>"330061888"</f>
        <v>330061888</v>
      </c>
      <c r="B869" t="str">
        <f>"890 143 308 00017"</f>
        <v>890 143 308 00017</v>
      </c>
      <c r="D869" t="str">
        <f>"CDS ACCES VISION BORDEAUX"</f>
        <v>CDS ACCES VISION BORDEAUX</v>
      </c>
      <c r="F869" t="str">
        <f>"16 ALLEE DE TOURNY"</f>
        <v>16 ALLEE DE TOURNY</v>
      </c>
      <c r="H869" t="str">
        <f>"33000"</f>
        <v>33000</v>
      </c>
      <c r="I869" t="str">
        <f>"BORDEAUX"</f>
        <v>BORDEAUX</v>
      </c>
      <c r="J869" t="str">
        <f>"06 70 32 21 05 "</f>
        <v xml:space="preserve">06 70 32 21 05 </v>
      </c>
      <c r="L869" s="1">
        <v>44230</v>
      </c>
      <c r="M869" t="str">
        <f t="shared" si="138"/>
        <v>124</v>
      </c>
      <c r="N869" t="str">
        <f t="shared" si="139"/>
        <v>Centre de Santé</v>
      </c>
      <c r="O869" t="str">
        <f t="shared" ref="O869:O878" si="150">"60"</f>
        <v>60</v>
      </c>
      <c r="P869" t="str">
        <f t="shared" ref="P869:P878" si="151">"Association Loi 1901 non Reconnue d'Utilité Publique"</f>
        <v>Association Loi 1901 non Reconnue d'Utilité Publique</v>
      </c>
      <c r="Q869" t="str">
        <f t="shared" si="148"/>
        <v>36</v>
      </c>
      <c r="R869" t="str">
        <f t="shared" si="149"/>
        <v>Tarifs conventionnels assurance maladie</v>
      </c>
      <c r="U869" t="str">
        <f>"750066821"</f>
        <v>750066821</v>
      </c>
    </row>
    <row r="870" spans="1:21" x14ac:dyDescent="0.3">
      <c r="A870" t="str">
        <f>"750066128"</f>
        <v>750066128</v>
      </c>
      <c r="B870" t="str">
        <f>"888 131 653 00014"</f>
        <v>888 131 653 00014</v>
      </c>
      <c r="D870" t="str">
        <f>"CDS MEDICAL ET DENTAIRE DE BELLEVILLE"</f>
        <v>CDS MEDICAL ET DENTAIRE DE BELLEVILLE</v>
      </c>
      <c r="F870" t="str">
        <f>"137 RUE DU FAUBOURG DU TEMPLE"</f>
        <v>137 RUE DU FAUBOURG DU TEMPLE</v>
      </c>
      <c r="H870" t="str">
        <f>"75010"</f>
        <v>75010</v>
      </c>
      <c r="I870" t="str">
        <f>"PARIS"</f>
        <v>PARIS</v>
      </c>
      <c r="J870" t="str">
        <f>"06 15 47 18 73 "</f>
        <v xml:space="preserve">06 15 47 18 73 </v>
      </c>
      <c r="L870" s="1">
        <v>44230</v>
      </c>
      <c r="M870" t="str">
        <f t="shared" si="138"/>
        <v>124</v>
      </c>
      <c r="N870" t="str">
        <f t="shared" si="139"/>
        <v>Centre de Santé</v>
      </c>
      <c r="O870" t="str">
        <f t="shared" si="150"/>
        <v>60</v>
      </c>
      <c r="P870" t="str">
        <f t="shared" si="151"/>
        <v>Association Loi 1901 non Reconnue d'Utilité Publique</v>
      </c>
      <c r="Q870" t="str">
        <f t="shared" si="148"/>
        <v>36</v>
      </c>
      <c r="R870" t="str">
        <f t="shared" si="149"/>
        <v>Tarifs conventionnels assurance maladie</v>
      </c>
      <c r="U870" t="str">
        <f>"750066110"</f>
        <v>750066110</v>
      </c>
    </row>
    <row r="871" spans="1:21" x14ac:dyDescent="0.3">
      <c r="A871" t="str">
        <f>"750066797"</f>
        <v>750066797</v>
      </c>
      <c r="B871" t="str">
        <f>"883 174 575 00018"</f>
        <v>883 174 575 00018</v>
      </c>
      <c r="D871" t="str">
        <f>"CDS DENTAIRE ET ORTHODONTIE DU XIVEME"</f>
        <v>CDS DENTAIRE ET ORTHODONTIE DU XIVEME</v>
      </c>
      <c r="F871" t="str">
        <f>"75 BOULEVARD BRUNE"</f>
        <v>75 BOULEVARD BRUNE</v>
      </c>
      <c r="H871" t="str">
        <f>"75014"</f>
        <v>75014</v>
      </c>
      <c r="I871" t="str">
        <f>"PARIS"</f>
        <v>PARIS</v>
      </c>
      <c r="J871" t="str">
        <f>"01 56 36 05 31 "</f>
        <v xml:space="preserve">01 56 36 05 31 </v>
      </c>
      <c r="L871" s="1">
        <v>44230</v>
      </c>
      <c r="M871" t="str">
        <f t="shared" si="138"/>
        <v>124</v>
      </c>
      <c r="N871" t="str">
        <f t="shared" si="139"/>
        <v>Centre de Santé</v>
      </c>
      <c r="O871" t="str">
        <f t="shared" si="150"/>
        <v>60</v>
      </c>
      <c r="P871" t="str">
        <f t="shared" si="151"/>
        <v>Association Loi 1901 non Reconnue d'Utilité Publique</v>
      </c>
      <c r="Q871" t="str">
        <f t="shared" si="148"/>
        <v>36</v>
      </c>
      <c r="R871" t="str">
        <f t="shared" si="149"/>
        <v>Tarifs conventionnels assurance maladie</v>
      </c>
      <c r="U871" t="str">
        <f>"750066789"</f>
        <v>750066789</v>
      </c>
    </row>
    <row r="872" spans="1:21" x14ac:dyDescent="0.3">
      <c r="A872" t="str">
        <f>"950045047"</f>
        <v>950045047</v>
      </c>
      <c r="D872" t="str">
        <f>"CDS DENTAIRE LA GALATHEE"</f>
        <v>CDS DENTAIRE LA GALATHEE</v>
      </c>
      <c r="E872" t="str">
        <f>"21 D ET 21 E"</f>
        <v>21 D ET 21 E</v>
      </c>
      <c r="F872" t="str">
        <f>"21 ROUTE SAINT DENIS"</f>
        <v>21 ROUTE SAINT DENIS</v>
      </c>
      <c r="H872" t="str">
        <f>"95170"</f>
        <v>95170</v>
      </c>
      <c r="I872" t="str">
        <f>"DEUIL LA BARRE"</f>
        <v>DEUIL LA BARRE</v>
      </c>
      <c r="L872" s="1">
        <v>44230</v>
      </c>
      <c r="M872" t="str">
        <f t="shared" si="138"/>
        <v>124</v>
      </c>
      <c r="N872" t="str">
        <f t="shared" si="139"/>
        <v>Centre de Santé</v>
      </c>
      <c r="O872" t="str">
        <f t="shared" si="150"/>
        <v>60</v>
      </c>
      <c r="P872" t="str">
        <f t="shared" si="151"/>
        <v>Association Loi 1901 non Reconnue d'Utilité Publique</v>
      </c>
      <c r="Q872" t="str">
        <f t="shared" si="148"/>
        <v>36</v>
      </c>
      <c r="R872" t="str">
        <f t="shared" si="149"/>
        <v>Tarifs conventionnels assurance maladie</v>
      </c>
      <c r="U872" t="str">
        <f>"950044925"</f>
        <v>950044925</v>
      </c>
    </row>
    <row r="873" spans="1:21" x14ac:dyDescent="0.3">
      <c r="A873" t="str">
        <f>"950045302"</f>
        <v>950045302</v>
      </c>
      <c r="B873" t="str">
        <f>"883 426 538 00012"</f>
        <v>883 426 538 00012</v>
      </c>
      <c r="D873" t="str">
        <f>"CDS OPHTALMOLOGIQUE DU PETIT ALBI"</f>
        <v>CDS OPHTALMOLOGIQUE DU PETIT ALBI</v>
      </c>
      <c r="F873" t="str">
        <f>"16 RUE DU PETIT ALBI"</f>
        <v>16 RUE DU PETIT ALBI</v>
      </c>
      <c r="H873" t="str">
        <f>"95520"</f>
        <v>95520</v>
      </c>
      <c r="I873" t="str">
        <f>"OSNY"</f>
        <v>OSNY</v>
      </c>
      <c r="L873" s="1">
        <v>44229</v>
      </c>
      <c r="M873" t="str">
        <f t="shared" si="138"/>
        <v>124</v>
      </c>
      <c r="N873" t="str">
        <f t="shared" si="139"/>
        <v>Centre de Santé</v>
      </c>
      <c r="O873" t="str">
        <f t="shared" si="150"/>
        <v>60</v>
      </c>
      <c r="P873" t="str">
        <f t="shared" si="151"/>
        <v>Association Loi 1901 non Reconnue d'Utilité Publique</v>
      </c>
      <c r="Q873" t="str">
        <f t="shared" si="148"/>
        <v>36</v>
      </c>
      <c r="R873" t="str">
        <f t="shared" si="149"/>
        <v>Tarifs conventionnels assurance maladie</v>
      </c>
      <c r="U873" t="str">
        <f>"950045294"</f>
        <v>950045294</v>
      </c>
    </row>
    <row r="874" spans="1:21" x14ac:dyDescent="0.3">
      <c r="A874" t="str">
        <f>"130051022"</f>
        <v>130051022</v>
      </c>
      <c r="B874" t="str">
        <f>"830 073 276 00222"</f>
        <v>830 073 276 00222</v>
      </c>
      <c r="D874" t="str">
        <f>"CENTRE MEDICO DENTAIRE CANEBIERE"</f>
        <v>CENTRE MEDICO DENTAIRE CANEBIERE</v>
      </c>
      <c r="F874" t="str">
        <f>"60 LA CANEBIERE"</f>
        <v>60 LA CANEBIERE</v>
      </c>
      <c r="H874" t="str">
        <f>"13001"</f>
        <v>13001</v>
      </c>
      <c r="I874" t="str">
        <f>"MARSEILLE"</f>
        <v>MARSEILLE</v>
      </c>
      <c r="J874" t="str">
        <f>"01 85 11 10 11 "</f>
        <v xml:space="preserve">01 85 11 10 11 </v>
      </c>
      <c r="L874" s="1">
        <v>44228</v>
      </c>
      <c r="M874" t="str">
        <f t="shared" si="138"/>
        <v>124</v>
      </c>
      <c r="N874" t="str">
        <f t="shared" si="139"/>
        <v>Centre de Santé</v>
      </c>
      <c r="O874" t="str">
        <f t="shared" si="150"/>
        <v>60</v>
      </c>
      <c r="P874" t="str">
        <f t="shared" si="151"/>
        <v>Association Loi 1901 non Reconnue d'Utilité Publique</v>
      </c>
      <c r="Q874" t="str">
        <f t="shared" si="148"/>
        <v>36</v>
      </c>
      <c r="R874" t="str">
        <f t="shared" si="149"/>
        <v>Tarifs conventionnels assurance maladie</v>
      </c>
      <c r="U874" t="str">
        <f>"750060345"</f>
        <v>750060345</v>
      </c>
    </row>
    <row r="875" spans="1:21" x14ac:dyDescent="0.3">
      <c r="A875" t="str">
        <f>"540025137"</f>
        <v>540025137</v>
      </c>
      <c r="B875" t="str">
        <f>"852 261 825 00016"</f>
        <v>852 261 825 00016</v>
      </c>
      <c r="D875" t="str">
        <f>"CENTRE DENTAIRE LA CASCADE"</f>
        <v>CENTRE DENTAIRE LA CASCADE</v>
      </c>
      <c r="F875" t="str">
        <f>"7 RUE DE LA MOSELLE"</f>
        <v>7 RUE DE LA MOSELLE</v>
      </c>
      <c r="H875" t="str">
        <f>"54520"</f>
        <v>54520</v>
      </c>
      <c r="I875" t="str">
        <f>"LAXOU"</f>
        <v>LAXOU</v>
      </c>
      <c r="J875" t="str">
        <f>"03 72 47 11 85 "</f>
        <v xml:space="preserve">03 72 47 11 85 </v>
      </c>
      <c r="L875" s="1">
        <v>44228</v>
      </c>
      <c r="M875" t="str">
        <f t="shared" si="138"/>
        <v>124</v>
      </c>
      <c r="N875" t="str">
        <f t="shared" si="139"/>
        <v>Centre de Santé</v>
      </c>
      <c r="O875" t="str">
        <f t="shared" si="150"/>
        <v>60</v>
      </c>
      <c r="P875" t="str">
        <f t="shared" si="151"/>
        <v>Association Loi 1901 non Reconnue d'Utilité Publique</v>
      </c>
      <c r="Q875" t="str">
        <f t="shared" si="148"/>
        <v>36</v>
      </c>
      <c r="R875" t="str">
        <f t="shared" si="149"/>
        <v>Tarifs conventionnels assurance maladie</v>
      </c>
      <c r="U875" t="str">
        <f>"540025129"</f>
        <v>540025129</v>
      </c>
    </row>
    <row r="876" spans="1:21" x14ac:dyDescent="0.3">
      <c r="A876" t="str">
        <f>"920036951"</f>
        <v>920036951</v>
      </c>
      <c r="B876" t="str">
        <f>"751 604 406 00015"</f>
        <v>751 604 406 00015</v>
      </c>
      <c r="D876" t="str">
        <f>"CDS MEDICAL ET DENTAIRE COURBEVOIE"</f>
        <v>CDS MEDICAL ET DENTAIRE COURBEVOIE</v>
      </c>
      <c r="F876" t="str">
        <f>"6 RUE SEBASTOPOL"</f>
        <v>6 RUE SEBASTOPOL</v>
      </c>
      <c r="H876" t="str">
        <f>"92400"</f>
        <v>92400</v>
      </c>
      <c r="I876" t="str">
        <f>"COURBEVOIE"</f>
        <v>COURBEVOIE</v>
      </c>
      <c r="J876" t="str">
        <f>"06 14 12 34 15 "</f>
        <v xml:space="preserve">06 14 12 34 15 </v>
      </c>
      <c r="L876" s="1">
        <v>44228</v>
      </c>
      <c r="M876" t="str">
        <f t="shared" si="138"/>
        <v>124</v>
      </c>
      <c r="N876" t="str">
        <f t="shared" si="139"/>
        <v>Centre de Santé</v>
      </c>
      <c r="O876" t="str">
        <f t="shared" si="150"/>
        <v>60</v>
      </c>
      <c r="P876" t="str">
        <f t="shared" si="151"/>
        <v>Association Loi 1901 non Reconnue d'Utilité Publique</v>
      </c>
      <c r="Q876" t="str">
        <f t="shared" si="148"/>
        <v>36</v>
      </c>
      <c r="R876" t="str">
        <f t="shared" si="149"/>
        <v>Tarifs conventionnels assurance maladie</v>
      </c>
      <c r="U876" t="str">
        <f>"750050577"</f>
        <v>750050577</v>
      </c>
    </row>
    <row r="877" spans="1:21" x14ac:dyDescent="0.3">
      <c r="A877" t="str">
        <f>"930030218"</f>
        <v>930030218</v>
      </c>
      <c r="B877" t="str">
        <f>"889 948 956 00012"</f>
        <v>889 948 956 00012</v>
      </c>
      <c r="D877" t="str">
        <f>"CDS MESNIL MEDICO DENTAIRE"</f>
        <v>CDS MESNIL MEDICO DENTAIRE</v>
      </c>
      <c r="E877" t="str">
        <f>"1-5"</f>
        <v>1-5</v>
      </c>
      <c r="F877" t="str">
        <f>"1 RUE DU POTIER"</f>
        <v>1 RUE DU POTIER</v>
      </c>
      <c r="H877" t="str">
        <f>"93150"</f>
        <v>93150</v>
      </c>
      <c r="I877" t="str">
        <f>"LE BLANC MESNIL"</f>
        <v>LE BLANC MESNIL</v>
      </c>
      <c r="L877" s="1">
        <v>44228</v>
      </c>
      <c r="M877" t="str">
        <f t="shared" si="138"/>
        <v>124</v>
      </c>
      <c r="N877" t="str">
        <f t="shared" si="139"/>
        <v>Centre de Santé</v>
      </c>
      <c r="O877" t="str">
        <f t="shared" si="150"/>
        <v>60</v>
      </c>
      <c r="P877" t="str">
        <f t="shared" si="151"/>
        <v>Association Loi 1901 non Reconnue d'Utilité Publique</v>
      </c>
      <c r="Q877" t="str">
        <f t="shared" si="148"/>
        <v>36</v>
      </c>
      <c r="R877" t="str">
        <f t="shared" si="149"/>
        <v>Tarifs conventionnels assurance maladie</v>
      </c>
      <c r="U877" t="str">
        <f>"930030200"</f>
        <v>930030200</v>
      </c>
    </row>
    <row r="878" spans="1:21" x14ac:dyDescent="0.3">
      <c r="A878" t="str">
        <f>"950045427"</f>
        <v>950045427</v>
      </c>
      <c r="B878" t="str">
        <f>"890 180 334 00017"</f>
        <v>890 180 334 00017</v>
      </c>
      <c r="D878" t="str">
        <f>"CDS D'OPHTALMOLOGIE DU VAL D'OISE"</f>
        <v>CDS D'OPHTALMOLOGIE DU VAL D'OISE</v>
      </c>
      <c r="F878" t="str">
        <f>"3 AVENUE PIERRE SEMARD"</f>
        <v>3 AVENUE PIERRE SEMARD</v>
      </c>
      <c r="H878" t="str">
        <f>"95400"</f>
        <v>95400</v>
      </c>
      <c r="I878" t="str">
        <f>"ARNOUVILLE"</f>
        <v>ARNOUVILLE</v>
      </c>
      <c r="J878" t="str">
        <f>"01 41 99 92 60 "</f>
        <v xml:space="preserve">01 41 99 92 60 </v>
      </c>
      <c r="L878" s="1">
        <v>44228</v>
      </c>
      <c r="M878" t="str">
        <f t="shared" si="138"/>
        <v>124</v>
      </c>
      <c r="N878" t="str">
        <f t="shared" si="139"/>
        <v>Centre de Santé</v>
      </c>
      <c r="O878" t="str">
        <f t="shared" si="150"/>
        <v>60</v>
      </c>
      <c r="P878" t="str">
        <f t="shared" si="151"/>
        <v>Association Loi 1901 non Reconnue d'Utilité Publique</v>
      </c>
      <c r="Q878" t="str">
        <f t="shared" si="148"/>
        <v>36</v>
      </c>
      <c r="R878" t="str">
        <f t="shared" si="149"/>
        <v>Tarifs conventionnels assurance maladie</v>
      </c>
      <c r="U878" t="str">
        <f>"950045419"</f>
        <v>950045419</v>
      </c>
    </row>
    <row r="879" spans="1:21" x14ac:dyDescent="0.3">
      <c r="A879" t="str">
        <f>"570029728"</f>
        <v>570029728</v>
      </c>
      <c r="B879" t="str">
        <f>"893 076 869 00013"</f>
        <v>893 076 869 00013</v>
      </c>
      <c r="D879" t="str">
        <f>"CENTRE DE SANTE DE L'ASSOCIATION GMSI"</f>
        <v>CENTRE DE SANTE DE L'ASSOCIATION GMSI</v>
      </c>
      <c r="F879" t="str">
        <f>"1 RUE JEAN MARIE DE CONTI"</f>
        <v>1 RUE JEAN MARIE DE CONTI</v>
      </c>
      <c r="H879" t="str">
        <f>"57490"</f>
        <v>57490</v>
      </c>
      <c r="I879" t="str">
        <f>"L HOPITAL"</f>
        <v>L HOPITAL</v>
      </c>
      <c r="J879" t="str">
        <f>"03 87 00 52 06 "</f>
        <v xml:space="preserve">03 87 00 52 06 </v>
      </c>
      <c r="L879" s="1">
        <v>44225</v>
      </c>
      <c r="M879" t="str">
        <f t="shared" si="138"/>
        <v>124</v>
      </c>
      <c r="N879" t="str">
        <f t="shared" si="139"/>
        <v>Centre de Santé</v>
      </c>
      <c r="O879" t="str">
        <f>"62"</f>
        <v>62</v>
      </c>
      <c r="P879" t="str">
        <f>"Association de Droit Local"</f>
        <v>Association de Droit Local</v>
      </c>
      <c r="Q879" t="str">
        <f t="shared" si="148"/>
        <v>36</v>
      </c>
      <c r="R879" t="str">
        <f t="shared" si="149"/>
        <v>Tarifs conventionnels assurance maladie</v>
      </c>
      <c r="U879" t="str">
        <f>"570029710"</f>
        <v>570029710</v>
      </c>
    </row>
    <row r="880" spans="1:21" x14ac:dyDescent="0.3">
      <c r="A880" t="str">
        <f>"570029736"</f>
        <v>570029736</v>
      </c>
      <c r="B880" t="str">
        <f>"893 076 869 00021"</f>
        <v>893 076 869 00021</v>
      </c>
      <c r="D880" t="str">
        <f>"CENTRE DE SANTE DE L'ASSOCIATION GMSI"</f>
        <v>CENTRE DE SANTE DE L'ASSOCIATION GMSI</v>
      </c>
      <c r="F880" t="str">
        <f>"8 PLACE DU MARCHE"</f>
        <v>8 PLACE DU MARCHE</v>
      </c>
      <c r="H880" t="str">
        <f>"57380"</f>
        <v>57380</v>
      </c>
      <c r="I880" t="str">
        <f>"FAULQUEMONT"</f>
        <v>FAULQUEMONT</v>
      </c>
      <c r="J880" t="str">
        <f>"03 87 00 52 06 "</f>
        <v xml:space="preserve">03 87 00 52 06 </v>
      </c>
      <c r="L880" s="1">
        <v>44225</v>
      </c>
      <c r="M880" t="str">
        <f t="shared" si="138"/>
        <v>124</v>
      </c>
      <c r="N880" t="str">
        <f t="shared" si="139"/>
        <v>Centre de Santé</v>
      </c>
      <c r="O880" t="str">
        <f>"62"</f>
        <v>62</v>
      </c>
      <c r="P880" t="str">
        <f>"Association de Droit Local"</f>
        <v>Association de Droit Local</v>
      </c>
      <c r="Q880" t="str">
        <f t="shared" si="148"/>
        <v>36</v>
      </c>
      <c r="R880" t="str">
        <f t="shared" si="149"/>
        <v>Tarifs conventionnels assurance maladie</v>
      </c>
      <c r="U880" t="str">
        <f>"570029710"</f>
        <v>570029710</v>
      </c>
    </row>
    <row r="881" spans="1:21" x14ac:dyDescent="0.3">
      <c r="A881" t="str">
        <f>"130051428"</f>
        <v>130051428</v>
      </c>
      <c r="B881" t="str">
        <f>"889 358 966 00014"</f>
        <v>889 358 966 00014</v>
      </c>
      <c r="D881" t="str">
        <f>"ESPACE DENTAIRE D'AIX LES MILLES"</f>
        <v>ESPACE DENTAIRE D'AIX LES MILLES</v>
      </c>
      <c r="F881" t="str">
        <f>"25 AVENUE ALBERT COUTON"</f>
        <v>25 AVENUE ALBERT COUTON</v>
      </c>
      <c r="H881" t="str">
        <f>"13290"</f>
        <v>13290</v>
      </c>
      <c r="I881" t="str">
        <f>"AIX EN PROVENCE"</f>
        <v>AIX EN PROVENCE</v>
      </c>
      <c r="J881" t="str">
        <f>"06 61 36 85 28 "</f>
        <v xml:space="preserve">06 61 36 85 28 </v>
      </c>
      <c r="L881" s="1">
        <v>44223</v>
      </c>
      <c r="M881" t="str">
        <f t="shared" si="138"/>
        <v>124</v>
      </c>
      <c r="N881" t="str">
        <f t="shared" si="139"/>
        <v>Centre de Santé</v>
      </c>
      <c r="O881" t="str">
        <f>"60"</f>
        <v>60</v>
      </c>
      <c r="P881" t="str">
        <f>"Association Loi 1901 non Reconnue d'Utilité Publique"</f>
        <v>Association Loi 1901 non Reconnue d'Utilité Publique</v>
      </c>
      <c r="Q881" t="str">
        <f t="shared" si="148"/>
        <v>36</v>
      </c>
      <c r="R881" t="str">
        <f t="shared" si="149"/>
        <v>Tarifs conventionnels assurance maladie</v>
      </c>
      <c r="U881" t="str">
        <f>"130051410"</f>
        <v>130051410</v>
      </c>
    </row>
    <row r="882" spans="1:21" x14ac:dyDescent="0.3">
      <c r="A882" t="str">
        <f>"910025196"</f>
        <v>910025196</v>
      </c>
      <c r="B882" t="str">
        <f>"890 479 264 00016"</f>
        <v>890 479 264 00016</v>
      </c>
      <c r="D882" t="str">
        <f>"CDS MEDICO DENTAIRE VILMORIN"</f>
        <v>CDS MEDICO DENTAIRE VILMORIN</v>
      </c>
      <c r="F882" t="str">
        <f>"55 AVENUE RAYMOND ARON"</f>
        <v>55 AVENUE RAYMOND ARON</v>
      </c>
      <c r="G882" t="str">
        <f>"ZAC VILMORIN BATIMENT B3"</f>
        <v>ZAC VILMORIN BATIMENT B3</v>
      </c>
      <c r="H882" t="str">
        <f>"91300"</f>
        <v>91300</v>
      </c>
      <c r="I882" t="str">
        <f>"MASSY"</f>
        <v>MASSY</v>
      </c>
      <c r="L882" s="1">
        <v>44221</v>
      </c>
      <c r="M882" t="str">
        <f t="shared" si="138"/>
        <v>124</v>
      </c>
      <c r="N882" t="str">
        <f t="shared" si="139"/>
        <v>Centre de Santé</v>
      </c>
      <c r="O882" t="str">
        <f>"60"</f>
        <v>60</v>
      </c>
      <c r="P882" t="str">
        <f>"Association Loi 1901 non Reconnue d'Utilité Publique"</f>
        <v>Association Loi 1901 non Reconnue d'Utilité Publique</v>
      </c>
      <c r="Q882" t="str">
        <f t="shared" si="148"/>
        <v>36</v>
      </c>
      <c r="R882" t="str">
        <f t="shared" si="149"/>
        <v>Tarifs conventionnels assurance maladie</v>
      </c>
      <c r="U882" t="str">
        <f>"910025188"</f>
        <v>910025188</v>
      </c>
    </row>
    <row r="883" spans="1:21" x14ac:dyDescent="0.3">
      <c r="A883" t="str">
        <f>"670020114"</f>
        <v>670020114</v>
      </c>
      <c r="B883" t="str">
        <f>"852 998 640 00027"</f>
        <v>852 998 640 00027</v>
      </c>
      <c r="D883" t="str">
        <f>"CENTRE DE SANTE DENTAIRE ILLKIRCH"</f>
        <v>CENTRE DE SANTE DENTAIRE ILLKIRCH</v>
      </c>
      <c r="F883" t="str">
        <f>"6 AVENUE DE STRASBOURG"</f>
        <v>6 AVENUE DE STRASBOURG</v>
      </c>
      <c r="H883" t="str">
        <f>"67400"</f>
        <v>67400</v>
      </c>
      <c r="I883" t="str">
        <f>"ILLKIRCH GRAFFENSTADEN"</f>
        <v>ILLKIRCH GRAFFENSTADEN</v>
      </c>
      <c r="J883" t="str">
        <f>"03 88 66 55 55 "</f>
        <v xml:space="preserve">03 88 66 55 55 </v>
      </c>
      <c r="L883" s="1">
        <v>44215</v>
      </c>
      <c r="M883" t="str">
        <f t="shared" si="138"/>
        <v>124</v>
      </c>
      <c r="N883" t="str">
        <f t="shared" si="139"/>
        <v>Centre de Santé</v>
      </c>
      <c r="O883" t="str">
        <f>"60"</f>
        <v>60</v>
      </c>
      <c r="P883" t="str">
        <f>"Association Loi 1901 non Reconnue d'Utilité Publique"</f>
        <v>Association Loi 1901 non Reconnue d'Utilité Publique</v>
      </c>
      <c r="Q883" t="str">
        <f t="shared" si="148"/>
        <v>36</v>
      </c>
      <c r="R883" t="str">
        <f t="shared" si="149"/>
        <v>Tarifs conventionnels assurance maladie</v>
      </c>
      <c r="U883" t="str">
        <f>"750064529"</f>
        <v>750064529</v>
      </c>
    </row>
    <row r="884" spans="1:21" x14ac:dyDescent="0.3">
      <c r="A884" t="str">
        <f>"740017868"</f>
        <v>740017868</v>
      </c>
      <c r="B884" t="str">
        <f>"851 520 759 00016"</f>
        <v>851 520 759 00016</v>
      </c>
      <c r="D884" t="str">
        <f>"CENTRE DE SANTE DENTAIRE DE POISY"</f>
        <v>CENTRE DE SANTE DENTAIRE DE POISY</v>
      </c>
      <c r="F884" t="str">
        <f>"159 ROUTE DE CLOSON"</f>
        <v>159 ROUTE DE CLOSON</v>
      </c>
      <c r="H884" t="str">
        <f>"74330"</f>
        <v>74330</v>
      </c>
      <c r="I884" t="str">
        <f>"POISY"</f>
        <v>POISY</v>
      </c>
      <c r="J884" t="str">
        <f>"04 50 24 80 80 "</f>
        <v xml:space="preserve">04 50 24 80 80 </v>
      </c>
      <c r="L884" s="1">
        <v>44215</v>
      </c>
      <c r="M884" t="str">
        <f t="shared" si="138"/>
        <v>124</v>
      </c>
      <c r="N884" t="str">
        <f t="shared" si="139"/>
        <v>Centre de Santé</v>
      </c>
      <c r="O884" t="str">
        <f>"60"</f>
        <v>60</v>
      </c>
      <c r="P884" t="str">
        <f>"Association Loi 1901 non Reconnue d'Utilité Publique"</f>
        <v>Association Loi 1901 non Reconnue d'Utilité Publique</v>
      </c>
      <c r="Q884" t="str">
        <f t="shared" si="148"/>
        <v>36</v>
      </c>
      <c r="R884" t="str">
        <f t="shared" si="149"/>
        <v>Tarifs conventionnels assurance maladie</v>
      </c>
      <c r="U884" t="str">
        <f>"740017850"</f>
        <v>740017850</v>
      </c>
    </row>
    <row r="885" spans="1:21" x14ac:dyDescent="0.3">
      <c r="A885" t="str">
        <f>"670021062"</f>
        <v>670021062</v>
      </c>
      <c r="B885" t="str">
        <f>"434 111 126 00489"</f>
        <v>434 111 126 00489</v>
      </c>
      <c r="D885" t="str">
        <f>"CENTRE DE SANTE DENTAIRE DE L'ILL"</f>
        <v>CENTRE DE SANTE DENTAIRE DE L'ILL</v>
      </c>
      <c r="F885" t="str">
        <f>"42 RUE DE L'ILL"</f>
        <v>42 RUE DE L'ILL</v>
      </c>
      <c r="H885" t="str">
        <f>"67000"</f>
        <v>67000</v>
      </c>
      <c r="I885" t="str">
        <f>"STRASBOURG"</f>
        <v>STRASBOURG</v>
      </c>
      <c r="L885" s="1">
        <v>44214</v>
      </c>
      <c r="M885" t="str">
        <f t="shared" si="138"/>
        <v>124</v>
      </c>
      <c r="N885" t="str">
        <f t="shared" si="139"/>
        <v>Centre de Santé</v>
      </c>
      <c r="O885" t="str">
        <f>"47"</f>
        <v>47</v>
      </c>
      <c r="P885" t="str">
        <f>"Société Mutualiste"</f>
        <v>Société Mutualiste</v>
      </c>
      <c r="Q885" t="str">
        <f t="shared" si="148"/>
        <v>36</v>
      </c>
      <c r="R885" t="str">
        <f t="shared" si="149"/>
        <v>Tarifs conventionnels assurance maladie</v>
      </c>
      <c r="U885" t="str">
        <f>"670010339"</f>
        <v>670010339</v>
      </c>
    </row>
    <row r="886" spans="1:21" x14ac:dyDescent="0.3">
      <c r="A886" t="str">
        <f>"750066144"</f>
        <v>750066144</v>
      </c>
      <c r="B886" t="str">
        <f>"887 858 934 00011"</f>
        <v>887 858 934 00011</v>
      </c>
      <c r="D886" t="str">
        <f>"CDS DENTAIRE MEDICAL CHAUSSEE D'ANTIN"</f>
        <v>CDS DENTAIRE MEDICAL CHAUSSEE D'ANTIN</v>
      </c>
      <c r="F886" t="str">
        <f>"35 RUE DE LA CHAUSSEE D'ANTIN"</f>
        <v>35 RUE DE LA CHAUSSEE D'ANTIN</v>
      </c>
      <c r="H886" t="str">
        <f>"75009"</f>
        <v>75009</v>
      </c>
      <c r="I886" t="str">
        <f>"PARIS"</f>
        <v>PARIS</v>
      </c>
      <c r="J886" t="str">
        <f>"06 15 47 18 73 "</f>
        <v xml:space="preserve">06 15 47 18 73 </v>
      </c>
      <c r="L886" s="1">
        <v>44214</v>
      </c>
      <c r="M886" t="str">
        <f t="shared" si="138"/>
        <v>124</v>
      </c>
      <c r="N886" t="str">
        <f t="shared" si="139"/>
        <v>Centre de Santé</v>
      </c>
      <c r="O886" t="str">
        <f t="shared" ref="O886:O895" si="152">"60"</f>
        <v>60</v>
      </c>
      <c r="P886" t="str">
        <f t="shared" ref="P886:P895" si="153">"Association Loi 1901 non Reconnue d'Utilité Publique"</f>
        <v>Association Loi 1901 non Reconnue d'Utilité Publique</v>
      </c>
      <c r="Q886" t="str">
        <f t="shared" si="148"/>
        <v>36</v>
      </c>
      <c r="R886" t="str">
        <f t="shared" si="149"/>
        <v>Tarifs conventionnels assurance maladie</v>
      </c>
      <c r="U886" t="str">
        <f>"750066136"</f>
        <v>750066136</v>
      </c>
    </row>
    <row r="887" spans="1:21" x14ac:dyDescent="0.3">
      <c r="A887" t="str">
        <f>"940026776"</f>
        <v>940026776</v>
      </c>
      <c r="B887" t="str">
        <f>"885 268 839 00010"</f>
        <v>885 268 839 00010</v>
      </c>
      <c r="D887" t="str">
        <f>"CDS BOISSY CRETEIL"</f>
        <v>CDS BOISSY CRETEIL</v>
      </c>
      <c r="F887" t="str">
        <f>"5 AVENUE DU GENERAL LECLERC"</f>
        <v>5 AVENUE DU GENERAL LECLERC</v>
      </c>
      <c r="H887" t="str">
        <f>"94470"</f>
        <v>94470</v>
      </c>
      <c r="I887" t="str">
        <f>"BOISSY ST LEGER"</f>
        <v>BOISSY ST LEGER</v>
      </c>
      <c r="J887" t="str">
        <f>"01 48 66 22 11 "</f>
        <v xml:space="preserve">01 48 66 22 11 </v>
      </c>
      <c r="L887" s="1">
        <v>44214</v>
      </c>
      <c r="M887" t="str">
        <f t="shared" si="138"/>
        <v>124</v>
      </c>
      <c r="N887" t="str">
        <f t="shared" si="139"/>
        <v>Centre de Santé</v>
      </c>
      <c r="O887" t="str">
        <f t="shared" si="152"/>
        <v>60</v>
      </c>
      <c r="P887" t="str">
        <f t="shared" si="153"/>
        <v>Association Loi 1901 non Reconnue d'Utilité Publique</v>
      </c>
      <c r="Q887" t="str">
        <f t="shared" si="148"/>
        <v>36</v>
      </c>
      <c r="R887" t="str">
        <f t="shared" si="149"/>
        <v>Tarifs conventionnels assurance maladie</v>
      </c>
      <c r="U887" t="str">
        <f>"940026768"</f>
        <v>940026768</v>
      </c>
    </row>
    <row r="888" spans="1:21" x14ac:dyDescent="0.3">
      <c r="A888" t="str">
        <f>"950045450"</f>
        <v>950045450</v>
      </c>
      <c r="B888" t="str">
        <f>"888 779 113 00016"</f>
        <v>888 779 113 00016</v>
      </c>
      <c r="D888" t="str">
        <f>"CDS OPHTALMOLOGIQUE VILLIERS LE BEL"</f>
        <v>CDS OPHTALMOLOGIQUE VILLIERS LE BEL</v>
      </c>
      <c r="F888" t="str">
        <f>"93 AVENUE PIERRE SEMARD"</f>
        <v>93 AVENUE PIERRE SEMARD</v>
      </c>
      <c r="H888" t="str">
        <f>"95400"</f>
        <v>95400</v>
      </c>
      <c r="I888" t="str">
        <f>"VILLIERS LE BEL"</f>
        <v>VILLIERS LE BEL</v>
      </c>
      <c r="J888" t="str">
        <f>"01 39 91 25 33 "</f>
        <v xml:space="preserve">01 39 91 25 33 </v>
      </c>
      <c r="L888" s="1">
        <v>44214</v>
      </c>
      <c r="M888" t="str">
        <f t="shared" si="138"/>
        <v>124</v>
      </c>
      <c r="N888" t="str">
        <f t="shared" si="139"/>
        <v>Centre de Santé</v>
      </c>
      <c r="O888" t="str">
        <f t="shared" si="152"/>
        <v>60</v>
      </c>
      <c r="P888" t="str">
        <f t="shared" si="153"/>
        <v>Association Loi 1901 non Reconnue d'Utilité Publique</v>
      </c>
      <c r="Q888" t="str">
        <f t="shared" si="148"/>
        <v>36</v>
      </c>
      <c r="R888" t="str">
        <f t="shared" si="149"/>
        <v>Tarifs conventionnels assurance maladie</v>
      </c>
      <c r="U888" t="str">
        <f>"950045443"</f>
        <v>950045443</v>
      </c>
    </row>
    <row r="889" spans="1:21" x14ac:dyDescent="0.3">
      <c r="A889" t="str">
        <f>"510026222"</f>
        <v>510026222</v>
      </c>
      <c r="B889" t="str">
        <f>"881 632 350 00016"</f>
        <v>881 632 350 00016</v>
      </c>
      <c r="D889" t="str">
        <f>"CENTRE DENTAIRE DE REIMS"</f>
        <v>CENTRE DENTAIRE DE REIMS</v>
      </c>
      <c r="F889" t="str">
        <f>"82 RUE DE VESLE"</f>
        <v>82 RUE DE VESLE</v>
      </c>
      <c r="H889" t="str">
        <f>"51100"</f>
        <v>51100</v>
      </c>
      <c r="I889" t="str">
        <f>"REIMS"</f>
        <v>REIMS</v>
      </c>
      <c r="J889" t="str">
        <f>"03 10 45 55 55 "</f>
        <v xml:space="preserve">03 10 45 55 55 </v>
      </c>
      <c r="L889" s="1">
        <v>44211</v>
      </c>
      <c r="M889" t="str">
        <f t="shared" si="138"/>
        <v>124</v>
      </c>
      <c r="N889" t="str">
        <f t="shared" si="139"/>
        <v>Centre de Santé</v>
      </c>
      <c r="O889" t="str">
        <f t="shared" si="152"/>
        <v>60</v>
      </c>
      <c r="P889" t="str">
        <f t="shared" si="153"/>
        <v>Association Loi 1901 non Reconnue d'Utilité Publique</v>
      </c>
      <c r="Q889" t="str">
        <f t="shared" si="148"/>
        <v>36</v>
      </c>
      <c r="R889" t="str">
        <f t="shared" si="149"/>
        <v>Tarifs conventionnels assurance maladie</v>
      </c>
      <c r="U889" t="str">
        <f>"510026214"</f>
        <v>510026214</v>
      </c>
    </row>
    <row r="890" spans="1:21" x14ac:dyDescent="0.3">
      <c r="A890" t="str">
        <f>"750066292"</f>
        <v>750066292</v>
      </c>
      <c r="B890" t="str">
        <f>"889 939 260 00028"</f>
        <v>889 939 260 00028</v>
      </c>
      <c r="D890" t="str">
        <f>"CDS DENTAIRE DU MARAIS"</f>
        <v>CDS DENTAIRE DU MARAIS</v>
      </c>
      <c r="F890" t="str">
        <f>"28 RUE MESLAY"</f>
        <v>28 RUE MESLAY</v>
      </c>
      <c r="H890" t="str">
        <f>"75003"</f>
        <v>75003</v>
      </c>
      <c r="I890" t="str">
        <f>"PARIS"</f>
        <v>PARIS</v>
      </c>
      <c r="J890" t="str">
        <f>"06 21 59 10 18 "</f>
        <v xml:space="preserve">06 21 59 10 18 </v>
      </c>
      <c r="L890" s="1">
        <v>44211</v>
      </c>
      <c r="M890" t="str">
        <f t="shared" si="138"/>
        <v>124</v>
      </c>
      <c r="N890" t="str">
        <f t="shared" si="139"/>
        <v>Centre de Santé</v>
      </c>
      <c r="O890" t="str">
        <f t="shared" si="152"/>
        <v>60</v>
      </c>
      <c r="P890" t="str">
        <f t="shared" si="153"/>
        <v>Association Loi 1901 non Reconnue d'Utilité Publique</v>
      </c>
      <c r="Q890" t="str">
        <f t="shared" si="148"/>
        <v>36</v>
      </c>
      <c r="R890" t="str">
        <f t="shared" si="149"/>
        <v>Tarifs conventionnels assurance maladie</v>
      </c>
      <c r="U890" t="str">
        <f>"750070849"</f>
        <v>750070849</v>
      </c>
    </row>
    <row r="891" spans="1:21" x14ac:dyDescent="0.3">
      <c r="A891" t="str">
        <f>"930030341"</f>
        <v>930030341</v>
      </c>
      <c r="B891" t="str">
        <f>"890 629 330 00014"</f>
        <v>890 629 330 00014</v>
      </c>
      <c r="D891" t="str">
        <f>"CDS DENTAIRE LIVRY GARGAN GARE"</f>
        <v>CDS DENTAIRE LIVRY GARGAN GARE</v>
      </c>
      <c r="F891" t="str">
        <f>"25 BOULEVARD DE LA REPUBLIQUE"</f>
        <v>25 BOULEVARD DE LA REPUBLIQUE</v>
      </c>
      <c r="H891" t="str">
        <f>"93190"</f>
        <v>93190</v>
      </c>
      <c r="I891" t="str">
        <f>"LIVRY GARGAN"</f>
        <v>LIVRY GARGAN</v>
      </c>
      <c r="J891" t="str">
        <f>"06 67 62 70 66 "</f>
        <v xml:space="preserve">06 67 62 70 66 </v>
      </c>
      <c r="L891" s="1">
        <v>44210</v>
      </c>
      <c r="M891" t="str">
        <f t="shared" si="138"/>
        <v>124</v>
      </c>
      <c r="N891" t="str">
        <f t="shared" si="139"/>
        <v>Centre de Santé</v>
      </c>
      <c r="O891" t="str">
        <f t="shared" si="152"/>
        <v>60</v>
      </c>
      <c r="P891" t="str">
        <f t="shared" si="153"/>
        <v>Association Loi 1901 non Reconnue d'Utilité Publique</v>
      </c>
      <c r="Q891" t="str">
        <f t="shared" si="148"/>
        <v>36</v>
      </c>
      <c r="R891" t="str">
        <f t="shared" si="149"/>
        <v>Tarifs conventionnels assurance maladie</v>
      </c>
      <c r="U891" t="str">
        <f>"930030333"</f>
        <v>930030333</v>
      </c>
    </row>
    <row r="892" spans="1:21" x14ac:dyDescent="0.3">
      <c r="A892" t="str">
        <f>"670020064"</f>
        <v>670020064</v>
      </c>
      <c r="B892" t="str">
        <f>"852 998 715 00027"</f>
        <v>852 998 715 00027</v>
      </c>
      <c r="D892" t="str">
        <f>"CENTRE DE SANTE DENTAIRE HAUTEPIERRE"</f>
        <v>CENTRE DE SANTE DENTAIRE HAUTEPIERRE</v>
      </c>
      <c r="F892" t="str">
        <f>"1 PLACE ANDRE MAUROIS"</f>
        <v>1 PLACE ANDRE MAUROIS</v>
      </c>
      <c r="H892" t="str">
        <f>"67200"</f>
        <v>67200</v>
      </c>
      <c r="I892" t="str">
        <f>"STRASBOURG"</f>
        <v>STRASBOURG</v>
      </c>
      <c r="J892" t="str">
        <f>"03 88 77 55 55 "</f>
        <v xml:space="preserve">03 88 77 55 55 </v>
      </c>
      <c r="L892" s="1">
        <v>44208</v>
      </c>
      <c r="M892" t="str">
        <f t="shared" si="138"/>
        <v>124</v>
      </c>
      <c r="N892" t="str">
        <f t="shared" si="139"/>
        <v>Centre de Santé</v>
      </c>
      <c r="O892" t="str">
        <f t="shared" si="152"/>
        <v>60</v>
      </c>
      <c r="P892" t="str">
        <f t="shared" si="153"/>
        <v>Association Loi 1901 non Reconnue d'Utilité Publique</v>
      </c>
      <c r="Q892" t="str">
        <f t="shared" si="148"/>
        <v>36</v>
      </c>
      <c r="R892" t="str">
        <f t="shared" si="149"/>
        <v>Tarifs conventionnels assurance maladie</v>
      </c>
      <c r="U892" t="str">
        <f>"750064438"</f>
        <v>750064438</v>
      </c>
    </row>
    <row r="893" spans="1:21" x14ac:dyDescent="0.3">
      <c r="A893" t="str">
        <f>"630014157"</f>
        <v>630014157</v>
      </c>
      <c r="B893" t="str">
        <f>"853 858 405 00022"</f>
        <v>853 858 405 00022</v>
      </c>
      <c r="D893" t="str">
        <f>"CENTRE DE SANTE DENTIKA CLERMONT-F"</f>
        <v>CENTRE DE SANTE DENTIKA CLERMONT-F</v>
      </c>
      <c r="F893" t="str">
        <f>"13 PLACE DELILLE"</f>
        <v>13 PLACE DELILLE</v>
      </c>
      <c r="H893" t="str">
        <f>"63000"</f>
        <v>63000</v>
      </c>
      <c r="I893" t="str">
        <f>"CLERMONT FERRAND"</f>
        <v>CLERMONT FERRAND</v>
      </c>
      <c r="J893" t="str">
        <f>"04 73 15 11 51 "</f>
        <v xml:space="preserve">04 73 15 11 51 </v>
      </c>
      <c r="L893" s="1">
        <v>44207</v>
      </c>
      <c r="M893" t="str">
        <f t="shared" si="138"/>
        <v>124</v>
      </c>
      <c r="N893" t="str">
        <f t="shared" si="139"/>
        <v>Centre de Santé</v>
      </c>
      <c r="O893" t="str">
        <f t="shared" si="152"/>
        <v>60</v>
      </c>
      <c r="P893" t="str">
        <f t="shared" si="153"/>
        <v>Association Loi 1901 non Reconnue d'Utilité Publique</v>
      </c>
      <c r="Q893" t="str">
        <f t="shared" si="148"/>
        <v>36</v>
      </c>
      <c r="R893" t="str">
        <f t="shared" si="149"/>
        <v>Tarifs conventionnels assurance maladie</v>
      </c>
      <c r="U893" t="str">
        <f>"630014140"</f>
        <v>630014140</v>
      </c>
    </row>
    <row r="894" spans="1:21" x14ac:dyDescent="0.3">
      <c r="A894" t="str">
        <f>"750066391"</f>
        <v>750066391</v>
      </c>
      <c r="B894" t="str">
        <f>"313 524 753 00081"</f>
        <v>313 524 753 00081</v>
      </c>
      <c r="D894" t="str">
        <f>"CDS COSEM LARIBOISIERE"</f>
        <v>CDS COSEM LARIBOISIERE</v>
      </c>
      <c r="F894" t="str">
        <f>"2 RUE AMBROISE PARE"</f>
        <v>2 RUE AMBROISE PARE</v>
      </c>
      <c r="G894" t="str">
        <f>"HOPITAL LARIBOISIERE BATIMENT MO"</f>
        <v>HOPITAL LARIBOISIERE BATIMENT MO</v>
      </c>
      <c r="H894" t="str">
        <f>"75462"</f>
        <v>75462</v>
      </c>
      <c r="I894" t="str">
        <f>"PARIS CEDEX 10"</f>
        <v>PARIS CEDEX 10</v>
      </c>
      <c r="J894" t="str">
        <f>"01 53 20 37 27 "</f>
        <v xml:space="preserve">01 53 20 37 27 </v>
      </c>
      <c r="L894" s="1">
        <v>44207</v>
      </c>
      <c r="M894" t="str">
        <f t="shared" si="138"/>
        <v>124</v>
      </c>
      <c r="N894" t="str">
        <f t="shared" si="139"/>
        <v>Centre de Santé</v>
      </c>
      <c r="O894" t="str">
        <f t="shared" si="152"/>
        <v>60</v>
      </c>
      <c r="P894" t="str">
        <f t="shared" si="153"/>
        <v>Association Loi 1901 non Reconnue d'Utilité Publique</v>
      </c>
      <c r="Q894" t="str">
        <f t="shared" si="148"/>
        <v>36</v>
      </c>
      <c r="R894" t="str">
        <f t="shared" si="149"/>
        <v>Tarifs conventionnels assurance maladie</v>
      </c>
      <c r="U894" t="str">
        <f>"750819583"</f>
        <v>750819583</v>
      </c>
    </row>
    <row r="895" spans="1:21" x14ac:dyDescent="0.3">
      <c r="A895" t="str">
        <f>"910025030"</f>
        <v>910025030</v>
      </c>
      <c r="B895" t="str">
        <f>"882 312 622 00013"</f>
        <v>882 312 622 00013</v>
      </c>
      <c r="D895" t="str">
        <f>"CDS DENTAIRE VERTUO ATHIS MONS"</f>
        <v>CDS DENTAIRE VERTUO ATHIS MONS</v>
      </c>
      <c r="F895" t="str">
        <f>"180 AVENUE FRANCOIS MITTERAND"</f>
        <v>180 AVENUE FRANCOIS MITTERAND</v>
      </c>
      <c r="H895" t="str">
        <f>"91200"</f>
        <v>91200</v>
      </c>
      <c r="I895" t="str">
        <f>"ATHIS MONS"</f>
        <v>ATHIS MONS</v>
      </c>
      <c r="J895" t="str">
        <f>"06 79 84 20 31 "</f>
        <v xml:space="preserve">06 79 84 20 31 </v>
      </c>
      <c r="L895" s="1">
        <v>44206</v>
      </c>
      <c r="M895" t="str">
        <f t="shared" si="138"/>
        <v>124</v>
      </c>
      <c r="N895" t="str">
        <f t="shared" si="139"/>
        <v>Centre de Santé</v>
      </c>
      <c r="O895" t="str">
        <f t="shared" si="152"/>
        <v>60</v>
      </c>
      <c r="P895" t="str">
        <f t="shared" si="153"/>
        <v>Association Loi 1901 non Reconnue d'Utilité Publique</v>
      </c>
      <c r="Q895" t="str">
        <f t="shared" si="148"/>
        <v>36</v>
      </c>
      <c r="R895" t="str">
        <f t="shared" si="149"/>
        <v>Tarifs conventionnels assurance maladie</v>
      </c>
      <c r="U895" t="str">
        <f>"910025022"</f>
        <v>910025022</v>
      </c>
    </row>
    <row r="896" spans="1:21" x14ac:dyDescent="0.3">
      <c r="A896" t="str">
        <f>"650006521"</f>
        <v>650006521</v>
      </c>
      <c r="D896" t="str">
        <f>"CENTRE DE SANTE ADOUR MADIRAN"</f>
        <v>CENTRE DE SANTE ADOUR MADIRAN</v>
      </c>
      <c r="E896" t="str">
        <f>"BATIMENT 2"</f>
        <v>BATIMENT 2</v>
      </c>
      <c r="F896" t="str">
        <f>"11 PLACE VERDUN"</f>
        <v>11 PLACE VERDUN</v>
      </c>
      <c r="H896" t="str">
        <f>"65500"</f>
        <v>65500</v>
      </c>
      <c r="I896" t="str">
        <f>"VIC EN BIGORRE"</f>
        <v>VIC EN BIGORRE</v>
      </c>
      <c r="L896" s="1">
        <v>44202</v>
      </c>
      <c r="M896" t="str">
        <f t="shared" si="138"/>
        <v>124</v>
      </c>
      <c r="N896" t="str">
        <f t="shared" si="139"/>
        <v>Centre de Santé</v>
      </c>
      <c r="O896" t="str">
        <f>"03"</f>
        <v>03</v>
      </c>
      <c r="P896" t="str">
        <f>"Commune"</f>
        <v>Commune</v>
      </c>
      <c r="Q896" t="str">
        <f t="shared" si="148"/>
        <v>36</v>
      </c>
      <c r="R896" t="str">
        <f t="shared" si="149"/>
        <v>Tarifs conventionnels assurance maladie</v>
      </c>
      <c r="U896" t="str">
        <f>"650006513"</f>
        <v>650006513</v>
      </c>
    </row>
    <row r="897" spans="1:21" x14ac:dyDescent="0.3">
      <c r="A897" t="str">
        <f>"820010304"</f>
        <v>820010304</v>
      </c>
      <c r="B897" t="str">
        <f>"852 337 229 00011"</f>
        <v>852 337 229 00011</v>
      </c>
      <c r="D897" t="str">
        <f>"ASSO SOCIALE DU CANAL A L'ARONE"</f>
        <v>ASSO SOCIALE DU CANAL A L'ARONE</v>
      </c>
      <c r="F897" t="str">
        <f>"72 RUE DE LA MOULINE"</f>
        <v>72 RUE DE LA MOULINE</v>
      </c>
      <c r="H897" t="str">
        <f>"82100"</f>
        <v>82100</v>
      </c>
      <c r="I897" t="str">
        <f>"CASTELSARRASIN"</f>
        <v>CASTELSARRASIN</v>
      </c>
      <c r="J897" t="str">
        <f>"06 32 39 45 69 "</f>
        <v xml:space="preserve">06 32 39 45 69 </v>
      </c>
      <c r="L897" s="1">
        <v>44202</v>
      </c>
      <c r="M897" t="str">
        <f t="shared" si="138"/>
        <v>124</v>
      </c>
      <c r="N897" t="str">
        <f t="shared" si="139"/>
        <v>Centre de Santé</v>
      </c>
      <c r="O897" t="str">
        <f>"60"</f>
        <v>60</v>
      </c>
      <c r="P897" t="str">
        <f>"Association Loi 1901 non Reconnue d'Utilité Publique"</f>
        <v>Association Loi 1901 non Reconnue d'Utilité Publique</v>
      </c>
      <c r="Q897" t="str">
        <f t="shared" si="148"/>
        <v>36</v>
      </c>
      <c r="R897" t="str">
        <f t="shared" si="149"/>
        <v>Tarifs conventionnels assurance maladie</v>
      </c>
      <c r="U897" t="str">
        <f>"820010296"</f>
        <v>820010296</v>
      </c>
    </row>
    <row r="898" spans="1:21" x14ac:dyDescent="0.3">
      <c r="A898" t="str">
        <f>"140033069"</f>
        <v>140033069</v>
      </c>
      <c r="B898" t="str">
        <f>"887 595 221 00011"</f>
        <v>887 595 221 00011</v>
      </c>
      <c r="D898" t="str">
        <f>"ADN SANTÉ CAEN"</f>
        <v>ADN SANTÉ CAEN</v>
      </c>
      <c r="F898" t="str">
        <f>"6 AVENUE DU PÈRE CHARLES DE FOUCAULD"</f>
        <v>6 AVENUE DU PÈRE CHARLES DE FOUCAULD</v>
      </c>
      <c r="H898" t="str">
        <f>"14000"</f>
        <v>14000</v>
      </c>
      <c r="I898" t="str">
        <f>"CAEN"</f>
        <v>CAEN</v>
      </c>
      <c r="J898" t="str">
        <f>"07 76 82 11 28 "</f>
        <v xml:space="preserve">07 76 82 11 28 </v>
      </c>
      <c r="L898" s="1">
        <v>44200</v>
      </c>
      <c r="M898" t="str">
        <f t="shared" ref="M898:M961" si="154">"124"</f>
        <v>124</v>
      </c>
      <c r="N898" t="str">
        <f t="shared" ref="N898:N961" si="155">"Centre de Santé"</f>
        <v>Centre de Santé</v>
      </c>
      <c r="O898" t="str">
        <f>"60"</f>
        <v>60</v>
      </c>
      <c r="P898" t="str">
        <f>"Association Loi 1901 non Reconnue d'Utilité Publique"</f>
        <v>Association Loi 1901 non Reconnue d'Utilité Publique</v>
      </c>
      <c r="Q898" t="str">
        <f t="shared" si="148"/>
        <v>36</v>
      </c>
      <c r="R898" t="str">
        <f t="shared" si="149"/>
        <v>Tarifs conventionnels assurance maladie</v>
      </c>
      <c r="U898" t="str">
        <f>"140033051"</f>
        <v>140033051</v>
      </c>
    </row>
    <row r="899" spans="1:21" x14ac:dyDescent="0.3">
      <c r="A899" t="str">
        <f>"570029702"</f>
        <v>570029702</v>
      </c>
      <c r="B899" t="str">
        <f>"775 685 316 04001"</f>
        <v>775 685 316 04001</v>
      </c>
      <c r="D899" t="str">
        <f>"CSP FILIERIS DE BEHREN LES FORBACH"</f>
        <v>CSP FILIERIS DE BEHREN LES FORBACH</v>
      </c>
      <c r="F899" t="str">
        <f>"1 RUE STANISLAS"</f>
        <v>1 RUE STANISLAS</v>
      </c>
      <c r="H899" t="str">
        <f>"57460"</f>
        <v>57460</v>
      </c>
      <c r="I899" t="str">
        <f>"BEHREN LES FORBACH"</f>
        <v>BEHREN LES FORBACH</v>
      </c>
      <c r="J899" t="str">
        <f>"03 87 87 31 05 "</f>
        <v xml:space="preserve">03 87 87 31 05 </v>
      </c>
      <c r="L899" s="1">
        <v>44200</v>
      </c>
      <c r="M899" t="str">
        <f t="shared" si="154"/>
        <v>124</v>
      </c>
      <c r="N899" t="str">
        <f t="shared" si="155"/>
        <v>Centre de Santé</v>
      </c>
      <c r="O899" t="str">
        <f>"41"</f>
        <v>41</v>
      </c>
      <c r="P899" t="str">
        <f>"Régime Spécial de Sécurité Sociale"</f>
        <v>Régime Spécial de Sécurité Sociale</v>
      </c>
      <c r="Q899" t="str">
        <f t="shared" ref="Q899:Q914" si="156">"36"</f>
        <v>36</v>
      </c>
      <c r="R899" t="str">
        <f t="shared" ref="R899:R914" si="157">"Tarifs conventionnels assurance maladie"</f>
        <v>Tarifs conventionnels assurance maladie</v>
      </c>
      <c r="U899" t="str">
        <f>"750050759"</f>
        <v>750050759</v>
      </c>
    </row>
    <row r="900" spans="1:21" x14ac:dyDescent="0.3">
      <c r="A900" t="str">
        <f>"750065690"</f>
        <v>750065690</v>
      </c>
      <c r="B900" t="str">
        <f>"879 360 014 00010"</f>
        <v>879 360 014 00010</v>
      </c>
      <c r="D900" t="str">
        <f>"CDS DENTAIRE REUILLY"</f>
        <v>CDS DENTAIRE REUILLY</v>
      </c>
      <c r="F900" t="str">
        <f>"97 BOULEVARD DIDEROT"</f>
        <v>97 BOULEVARD DIDEROT</v>
      </c>
      <c r="H900" t="str">
        <f>"75012"</f>
        <v>75012</v>
      </c>
      <c r="I900" t="str">
        <f>"PARIS"</f>
        <v>PARIS</v>
      </c>
      <c r="J900" t="str">
        <f>"06 46 77 59 26 "</f>
        <v xml:space="preserve">06 46 77 59 26 </v>
      </c>
      <c r="L900" s="1">
        <v>44200</v>
      </c>
      <c r="M900" t="str">
        <f t="shared" si="154"/>
        <v>124</v>
      </c>
      <c r="N900" t="str">
        <f t="shared" si="155"/>
        <v>Centre de Santé</v>
      </c>
      <c r="O900" t="str">
        <f>"60"</f>
        <v>60</v>
      </c>
      <c r="P900" t="str">
        <f>"Association Loi 1901 non Reconnue d'Utilité Publique"</f>
        <v>Association Loi 1901 non Reconnue d'Utilité Publique</v>
      </c>
      <c r="Q900" t="str">
        <f t="shared" si="156"/>
        <v>36</v>
      </c>
      <c r="R900" t="str">
        <f t="shared" si="157"/>
        <v>Tarifs conventionnels assurance maladie</v>
      </c>
      <c r="U900" t="str">
        <f>"750065682"</f>
        <v>750065682</v>
      </c>
    </row>
    <row r="901" spans="1:21" x14ac:dyDescent="0.3">
      <c r="A901" t="str">
        <f>"760039198"</f>
        <v>760039198</v>
      </c>
      <c r="B901" t="str">
        <f>"247 600 786 00120"</f>
        <v>247 600 786 00120</v>
      </c>
      <c r="D901" t="str">
        <f>"CENTRE DE SANTE INTERCOMMUNAL"</f>
        <v>CENTRE DE SANTE INTERCOMMUNAL</v>
      </c>
      <c r="E901" t="str">
        <f>"CENTRE HOSPITALIER DE DIEPPE"</f>
        <v>CENTRE HOSPITALIER DE DIEPPE</v>
      </c>
      <c r="F901" t="str">
        <f>"AVENUE PASTEUR"</f>
        <v>AVENUE PASTEUR</v>
      </c>
      <c r="H901" t="str">
        <f>"76200"</f>
        <v>76200</v>
      </c>
      <c r="I901" t="str">
        <f>"DIEPPE"</f>
        <v>DIEPPE</v>
      </c>
      <c r="J901" t="str">
        <f>"06 22 82 28 26 "</f>
        <v xml:space="preserve">06 22 82 28 26 </v>
      </c>
      <c r="L901" s="1">
        <v>44200</v>
      </c>
      <c r="M901" t="str">
        <f t="shared" si="154"/>
        <v>124</v>
      </c>
      <c r="N901" t="str">
        <f t="shared" si="155"/>
        <v>Centre de Santé</v>
      </c>
      <c r="O901" t="str">
        <f>"26"</f>
        <v>26</v>
      </c>
      <c r="P901" t="str">
        <f>"Autre Etablissement Public à Caractère Administratif"</f>
        <v>Autre Etablissement Public à Caractère Administratif</v>
      </c>
      <c r="Q901" t="str">
        <f t="shared" si="156"/>
        <v>36</v>
      </c>
      <c r="R901" t="str">
        <f t="shared" si="157"/>
        <v>Tarifs conventionnels assurance maladie</v>
      </c>
      <c r="U901" t="str">
        <f>"760032482"</f>
        <v>760032482</v>
      </c>
    </row>
    <row r="902" spans="1:21" x14ac:dyDescent="0.3">
      <c r="A902" t="str">
        <f>"780028031"</f>
        <v>780028031</v>
      </c>
      <c r="B902" t="str">
        <f>"840 156 806 00035"</f>
        <v>840 156 806 00035</v>
      </c>
      <c r="D902" t="str">
        <f>"CDS DENTAIRE POISSY DENTECLAIR"</f>
        <v>CDS DENTAIRE POISSY DENTECLAIR</v>
      </c>
      <c r="F902" t="str">
        <f>"59 BOULEVARD ROBESPIERRE"</f>
        <v>59 BOULEVARD ROBESPIERRE</v>
      </c>
      <c r="H902" t="str">
        <f>"78300"</f>
        <v>78300</v>
      </c>
      <c r="I902" t="str">
        <f>"POISSY"</f>
        <v>POISSY</v>
      </c>
      <c r="J902" t="str">
        <f>"01 85 76 09 10 "</f>
        <v xml:space="preserve">01 85 76 09 10 </v>
      </c>
      <c r="L902" s="1">
        <v>44200</v>
      </c>
      <c r="M902" t="str">
        <f t="shared" si="154"/>
        <v>124</v>
      </c>
      <c r="N902" t="str">
        <f t="shared" si="155"/>
        <v>Centre de Santé</v>
      </c>
      <c r="O902" t="str">
        <f>"60"</f>
        <v>60</v>
      </c>
      <c r="P902" t="str">
        <f>"Association Loi 1901 non Reconnue d'Utilité Publique"</f>
        <v>Association Loi 1901 non Reconnue d'Utilité Publique</v>
      </c>
      <c r="Q902" t="str">
        <f t="shared" si="156"/>
        <v>36</v>
      </c>
      <c r="R902" t="str">
        <f t="shared" si="157"/>
        <v>Tarifs conventionnels assurance maladie</v>
      </c>
      <c r="U902" t="str">
        <f>"780028023"</f>
        <v>780028023</v>
      </c>
    </row>
    <row r="903" spans="1:21" x14ac:dyDescent="0.3">
      <c r="A903" t="str">
        <f>"940026917"</f>
        <v>940026917</v>
      </c>
      <c r="B903" t="str">
        <f>"269 400 032 00018"</f>
        <v>269 400 032 00018</v>
      </c>
      <c r="D903" t="str">
        <f>"CDS VAL CONSULT"</f>
        <v>CDS VAL CONSULT</v>
      </c>
      <c r="F903" t="str">
        <f>"7 RUE MOUGENOT"</f>
        <v>7 RUE MOUGENOT</v>
      </c>
      <c r="H903" t="str">
        <f>"94160"</f>
        <v>94160</v>
      </c>
      <c r="I903" t="str">
        <f>"ST MANDE"</f>
        <v>ST MANDE</v>
      </c>
      <c r="J903" t="str">
        <f>"01 49 57 70 02 "</f>
        <v xml:space="preserve">01 49 57 70 02 </v>
      </c>
      <c r="L903" s="1">
        <v>44200</v>
      </c>
      <c r="M903" t="str">
        <f t="shared" si="154"/>
        <v>124</v>
      </c>
      <c r="N903" t="str">
        <f t="shared" si="155"/>
        <v>Centre de Santé</v>
      </c>
      <c r="O903" t="str">
        <f>"19"</f>
        <v>19</v>
      </c>
      <c r="P903" t="str">
        <f>"Etablissement Social et Médico-Social Départemental"</f>
        <v>Etablissement Social et Médico-Social Départemental</v>
      </c>
      <c r="Q903" t="str">
        <f t="shared" si="156"/>
        <v>36</v>
      </c>
      <c r="R903" t="str">
        <f t="shared" si="157"/>
        <v>Tarifs conventionnels assurance maladie</v>
      </c>
      <c r="U903" t="str">
        <f>"940001019"</f>
        <v>940001019</v>
      </c>
    </row>
    <row r="904" spans="1:21" x14ac:dyDescent="0.3">
      <c r="A904" t="str">
        <f>"330061490"</f>
        <v>330061490</v>
      </c>
      <c r="B904" t="str">
        <f>"831 152 368 00021"</f>
        <v>831 152 368 00021</v>
      </c>
      <c r="D904" t="str">
        <f>"CDS DENTAIRE BORDEAUX SAINT JEAN"</f>
        <v>CDS DENTAIRE BORDEAUX SAINT JEAN</v>
      </c>
      <c r="F904" t="str">
        <f>"158 COURS DE LA MARNE"</f>
        <v>158 COURS DE LA MARNE</v>
      </c>
      <c r="H904" t="str">
        <f>"33800"</f>
        <v>33800</v>
      </c>
      <c r="I904" t="str">
        <f>"BORDEAUX"</f>
        <v>BORDEAUX</v>
      </c>
      <c r="J904" t="str">
        <f>"07 85 30 53 44 "</f>
        <v xml:space="preserve">07 85 30 53 44 </v>
      </c>
      <c r="L904" s="1">
        <v>44199</v>
      </c>
      <c r="M904" t="str">
        <f t="shared" si="154"/>
        <v>124</v>
      </c>
      <c r="N904" t="str">
        <f t="shared" si="155"/>
        <v>Centre de Santé</v>
      </c>
      <c r="O904" t="str">
        <f t="shared" ref="O904:O913" si="158">"60"</f>
        <v>60</v>
      </c>
      <c r="P904" t="str">
        <f t="shared" ref="P904:P913" si="159">"Association Loi 1901 non Reconnue d'Utilité Publique"</f>
        <v>Association Loi 1901 non Reconnue d'Utilité Publique</v>
      </c>
      <c r="Q904" t="str">
        <f t="shared" si="156"/>
        <v>36</v>
      </c>
      <c r="R904" t="str">
        <f t="shared" si="157"/>
        <v>Tarifs conventionnels assurance maladie</v>
      </c>
      <c r="U904" t="str">
        <f>"330062027"</f>
        <v>330062027</v>
      </c>
    </row>
    <row r="905" spans="1:21" x14ac:dyDescent="0.3">
      <c r="A905" t="str">
        <f>"750066276"</f>
        <v>750066276</v>
      </c>
      <c r="B905" t="str">
        <f>"887 758 142 00012"</f>
        <v>887 758 142 00012</v>
      </c>
      <c r="D905" t="str">
        <f>"CDS MED DENTAIRE OPHTALMO LEDRU ROLLIN"</f>
        <v>CDS MED DENTAIRE OPHTALMO LEDRU ROLLIN</v>
      </c>
      <c r="F905" t="str">
        <f>"79 AVENUE LEDRU ROLLIN"</f>
        <v>79 AVENUE LEDRU ROLLIN</v>
      </c>
      <c r="H905" t="str">
        <f>"75012"</f>
        <v>75012</v>
      </c>
      <c r="I905" t="str">
        <f>"PARIS"</f>
        <v>PARIS</v>
      </c>
      <c r="J905" t="str">
        <f>"06 15 47 18 73 "</f>
        <v xml:space="preserve">06 15 47 18 73 </v>
      </c>
      <c r="L905" s="1">
        <v>44199</v>
      </c>
      <c r="M905" t="str">
        <f t="shared" si="154"/>
        <v>124</v>
      </c>
      <c r="N905" t="str">
        <f t="shared" si="155"/>
        <v>Centre de Santé</v>
      </c>
      <c r="O905" t="str">
        <f t="shared" si="158"/>
        <v>60</v>
      </c>
      <c r="P905" t="str">
        <f t="shared" si="159"/>
        <v>Association Loi 1901 non Reconnue d'Utilité Publique</v>
      </c>
      <c r="Q905" t="str">
        <f t="shared" si="156"/>
        <v>36</v>
      </c>
      <c r="R905" t="str">
        <f t="shared" si="157"/>
        <v>Tarifs conventionnels assurance maladie</v>
      </c>
      <c r="U905" t="str">
        <f>"750066268"</f>
        <v>750066268</v>
      </c>
    </row>
    <row r="906" spans="1:21" x14ac:dyDescent="0.3">
      <c r="A906" t="str">
        <f>"940026792"</f>
        <v>940026792</v>
      </c>
      <c r="B906" t="str">
        <f>"887 530 285 00014"</f>
        <v>887 530 285 00014</v>
      </c>
      <c r="D906" t="str">
        <f>"CDS LE PERREUX BRY CHAMPIGNY"</f>
        <v>CDS LE PERREUX BRY CHAMPIGNY</v>
      </c>
      <c r="F906" t="str">
        <f>"246 AVENUE PIERRE BROSSOLETTE"</f>
        <v>246 AVENUE PIERRE BROSSOLETTE</v>
      </c>
      <c r="H906" t="str">
        <f>"94170"</f>
        <v>94170</v>
      </c>
      <c r="I906" t="str">
        <f>"LE PERREUX SUR MARNE"</f>
        <v>LE PERREUX SUR MARNE</v>
      </c>
      <c r="J906" t="str">
        <f>"06 14 45 02 95 "</f>
        <v xml:space="preserve">06 14 45 02 95 </v>
      </c>
      <c r="L906" s="1">
        <v>44199</v>
      </c>
      <c r="M906" t="str">
        <f t="shared" si="154"/>
        <v>124</v>
      </c>
      <c r="N906" t="str">
        <f t="shared" si="155"/>
        <v>Centre de Santé</v>
      </c>
      <c r="O906" t="str">
        <f t="shared" si="158"/>
        <v>60</v>
      </c>
      <c r="P906" t="str">
        <f t="shared" si="159"/>
        <v>Association Loi 1901 non Reconnue d'Utilité Publique</v>
      </c>
      <c r="Q906" t="str">
        <f t="shared" si="156"/>
        <v>36</v>
      </c>
      <c r="R906" t="str">
        <f t="shared" si="157"/>
        <v>Tarifs conventionnels assurance maladie</v>
      </c>
      <c r="U906" t="str">
        <f>"940026784"</f>
        <v>940026784</v>
      </c>
    </row>
    <row r="907" spans="1:21" x14ac:dyDescent="0.3">
      <c r="A907" t="str">
        <f>"300019676"</f>
        <v>300019676</v>
      </c>
      <c r="B907" t="str">
        <f>"884 477 118 00019"</f>
        <v>884 477 118 00019</v>
      </c>
      <c r="D907" t="str">
        <f>"CENTRE CLINADENT NIMES"</f>
        <v>CENTRE CLINADENT NIMES</v>
      </c>
      <c r="F907" t="str">
        <f>"64 AVENUE JEAN JAURES"</f>
        <v>64 AVENUE JEAN JAURES</v>
      </c>
      <c r="H907" t="str">
        <f>"30900"</f>
        <v>30900</v>
      </c>
      <c r="I907" t="str">
        <f>"NIMES"</f>
        <v>NIMES</v>
      </c>
      <c r="J907" t="str">
        <f>"06 13 13 76 84 "</f>
        <v xml:space="preserve">06 13 13 76 84 </v>
      </c>
      <c r="L907" s="1">
        <v>44198</v>
      </c>
      <c r="M907" t="str">
        <f t="shared" si="154"/>
        <v>124</v>
      </c>
      <c r="N907" t="str">
        <f t="shared" si="155"/>
        <v>Centre de Santé</v>
      </c>
      <c r="O907" t="str">
        <f t="shared" si="158"/>
        <v>60</v>
      </c>
      <c r="P907" t="str">
        <f t="shared" si="159"/>
        <v>Association Loi 1901 non Reconnue d'Utilité Publique</v>
      </c>
      <c r="Q907" t="str">
        <f t="shared" si="156"/>
        <v>36</v>
      </c>
      <c r="R907" t="str">
        <f t="shared" si="157"/>
        <v>Tarifs conventionnels assurance maladie</v>
      </c>
      <c r="U907" t="str">
        <f>"300019668"</f>
        <v>300019668</v>
      </c>
    </row>
    <row r="908" spans="1:21" x14ac:dyDescent="0.3">
      <c r="A908" t="str">
        <f>"920036647"</f>
        <v>920036647</v>
      </c>
      <c r="B908" t="str">
        <f>"879 102 259 00014"</f>
        <v>879 102 259 00014</v>
      </c>
      <c r="D908" t="str">
        <f>"CDS DENTAIRE DE FRANCE"</f>
        <v>CDS DENTAIRE DE FRANCE</v>
      </c>
      <c r="F908" t="str">
        <f>"36 RUE EDOUARD BELIN"</f>
        <v>36 RUE EDOUARD BELIN</v>
      </c>
      <c r="H908" t="str">
        <f>"92500"</f>
        <v>92500</v>
      </c>
      <c r="I908" t="str">
        <f>"RUEIL MALMAISON"</f>
        <v>RUEIL MALMAISON</v>
      </c>
      <c r="J908" t="str">
        <f>"06 23 14 12 64 "</f>
        <v xml:space="preserve">06 23 14 12 64 </v>
      </c>
      <c r="L908" s="1">
        <v>44198</v>
      </c>
      <c r="M908" t="str">
        <f t="shared" si="154"/>
        <v>124</v>
      </c>
      <c r="N908" t="str">
        <f t="shared" si="155"/>
        <v>Centre de Santé</v>
      </c>
      <c r="O908" t="str">
        <f t="shared" si="158"/>
        <v>60</v>
      </c>
      <c r="P908" t="str">
        <f t="shared" si="159"/>
        <v>Association Loi 1901 non Reconnue d'Utilité Publique</v>
      </c>
      <c r="Q908" t="str">
        <f t="shared" si="156"/>
        <v>36</v>
      </c>
      <c r="R908" t="str">
        <f t="shared" si="157"/>
        <v>Tarifs conventionnels assurance maladie</v>
      </c>
      <c r="U908" t="str">
        <f>"920036639"</f>
        <v>920036639</v>
      </c>
    </row>
    <row r="909" spans="1:21" x14ac:dyDescent="0.3">
      <c r="A909" t="str">
        <f>"930029624"</f>
        <v>930029624</v>
      </c>
      <c r="B909" t="str">
        <f>"880 744 560 00017"</f>
        <v>880 744 560 00017</v>
      </c>
      <c r="D909" t="str">
        <f>"CDS OPHTALMOLOGIE VILLETANEUSE"</f>
        <v>CDS OPHTALMOLOGIE VILLETANEUSE</v>
      </c>
      <c r="F909" t="str">
        <f>"206 AVENUE DE LA DIVISION LECLERC"</f>
        <v>206 AVENUE DE LA DIVISION LECLERC</v>
      </c>
      <c r="H909" t="str">
        <f>"93430"</f>
        <v>93430</v>
      </c>
      <c r="I909" t="str">
        <f>"VILLETANEUSE"</f>
        <v>VILLETANEUSE</v>
      </c>
      <c r="L909" s="1">
        <v>44198</v>
      </c>
      <c r="M909" t="str">
        <f t="shared" si="154"/>
        <v>124</v>
      </c>
      <c r="N909" t="str">
        <f t="shared" si="155"/>
        <v>Centre de Santé</v>
      </c>
      <c r="O909" t="str">
        <f t="shared" si="158"/>
        <v>60</v>
      </c>
      <c r="P909" t="str">
        <f t="shared" si="159"/>
        <v>Association Loi 1901 non Reconnue d'Utilité Publique</v>
      </c>
      <c r="Q909" t="str">
        <f t="shared" si="156"/>
        <v>36</v>
      </c>
      <c r="R909" t="str">
        <f t="shared" si="157"/>
        <v>Tarifs conventionnels assurance maladie</v>
      </c>
      <c r="U909" t="str">
        <f>"930029616"</f>
        <v>930029616</v>
      </c>
    </row>
    <row r="910" spans="1:21" x14ac:dyDescent="0.3">
      <c r="A910" t="str">
        <f>"930029988"</f>
        <v>930029988</v>
      </c>
      <c r="B910" t="str">
        <f>"887 636 876 00021"</f>
        <v>887 636 876 00021</v>
      </c>
      <c r="D910" t="str">
        <f>"CDS MEGAVISION VILLEPINTE"</f>
        <v>CDS MEGAVISION VILLEPINTE</v>
      </c>
      <c r="F910" t="str">
        <f>"AVENUE DU PARC"</f>
        <v>AVENUE DU PARC</v>
      </c>
      <c r="H910" t="str">
        <f>"93420"</f>
        <v>93420</v>
      </c>
      <c r="I910" t="str">
        <f>"VILLEPINTE"</f>
        <v>VILLEPINTE</v>
      </c>
      <c r="J910" t="str">
        <f>"01 41 52 00 01 "</f>
        <v xml:space="preserve">01 41 52 00 01 </v>
      </c>
      <c r="L910" s="1">
        <v>44198</v>
      </c>
      <c r="M910" t="str">
        <f t="shared" si="154"/>
        <v>124</v>
      </c>
      <c r="N910" t="str">
        <f t="shared" si="155"/>
        <v>Centre de Santé</v>
      </c>
      <c r="O910" t="str">
        <f t="shared" si="158"/>
        <v>60</v>
      </c>
      <c r="P910" t="str">
        <f t="shared" si="159"/>
        <v>Association Loi 1901 non Reconnue d'Utilité Publique</v>
      </c>
      <c r="Q910" t="str">
        <f t="shared" si="156"/>
        <v>36</v>
      </c>
      <c r="R910" t="str">
        <f t="shared" si="157"/>
        <v>Tarifs conventionnels assurance maladie</v>
      </c>
      <c r="U910" t="str">
        <f>"930033527"</f>
        <v>930033527</v>
      </c>
    </row>
    <row r="911" spans="1:21" x14ac:dyDescent="0.3">
      <c r="A911" t="str">
        <f>"940026818"</f>
        <v>940026818</v>
      </c>
      <c r="B911" t="str">
        <f>"887 853 349 00017"</f>
        <v>887 853 349 00017</v>
      </c>
      <c r="D911" t="str">
        <f>"CDS DENTALY"</f>
        <v>CDS DENTALY</v>
      </c>
      <c r="F911" t="str">
        <f>"7 PLACE DE LA GARE"</f>
        <v>7 PLACE DE LA GARE</v>
      </c>
      <c r="H911" t="str">
        <f>"94370"</f>
        <v>94370</v>
      </c>
      <c r="I911" t="str">
        <f>"SUCY EN BRIE"</f>
        <v>SUCY EN BRIE</v>
      </c>
      <c r="J911" t="str">
        <f>"01 45 90 39 39 "</f>
        <v xml:space="preserve">01 45 90 39 39 </v>
      </c>
      <c r="L911" s="1">
        <v>44198</v>
      </c>
      <c r="M911" t="str">
        <f t="shared" si="154"/>
        <v>124</v>
      </c>
      <c r="N911" t="str">
        <f t="shared" si="155"/>
        <v>Centre de Santé</v>
      </c>
      <c r="O911" t="str">
        <f t="shared" si="158"/>
        <v>60</v>
      </c>
      <c r="P911" t="str">
        <f t="shared" si="159"/>
        <v>Association Loi 1901 non Reconnue d'Utilité Publique</v>
      </c>
      <c r="Q911" t="str">
        <f t="shared" si="156"/>
        <v>36</v>
      </c>
      <c r="R911" t="str">
        <f t="shared" si="157"/>
        <v>Tarifs conventionnels assurance maladie</v>
      </c>
      <c r="U911" t="str">
        <f>"940026800"</f>
        <v>940026800</v>
      </c>
    </row>
    <row r="912" spans="1:21" x14ac:dyDescent="0.3">
      <c r="A912" t="str">
        <f>"940026883"</f>
        <v>940026883</v>
      </c>
      <c r="B912" t="str">
        <f>"890 143 431 00017"</f>
        <v>890 143 431 00017</v>
      </c>
      <c r="D912" t="str">
        <f>"CDS OPHTALIB"</f>
        <v>CDS OPHTALIB</v>
      </c>
      <c r="F912" t="str">
        <f>"90 BOULEVARD DE STALINGRAD"</f>
        <v>90 BOULEVARD DE STALINGRAD</v>
      </c>
      <c r="H912" t="str">
        <f>"94400"</f>
        <v>94400</v>
      </c>
      <c r="I912" t="str">
        <f>"VITRY SUR SEINE"</f>
        <v>VITRY SUR SEINE</v>
      </c>
      <c r="J912" t="str">
        <f>"06 58 22 28 18 "</f>
        <v xml:space="preserve">06 58 22 28 18 </v>
      </c>
      <c r="L912" s="1">
        <v>44198</v>
      </c>
      <c r="M912" t="str">
        <f t="shared" si="154"/>
        <v>124</v>
      </c>
      <c r="N912" t="str">
        <f t="shared" si="155"/>
        <v>Centre de Santé</v>
      </c>
      <c r="O912" t="str">
        <f t="shared" si="158"/>
        <v>60</v>
      </c>
      <c r="P912" t="str">
        <f t="shared" si="159"/>
        <v>Association Loi 1901 non Reconnue d'Utilité Publique</v>
      </c>
      <c r="Q912" t="str">
        <f t="shared" si="156"/>
        <v>36</v>
      </c>
      <c r="R912" t="str">
        <f t="shared" si="157"/>
        <v>Tarifs conventionnels assurance maladie</v>
      </c>
      <c r="U912" t="str">
        <f>"940026875"</f>
        <v>940026875</v>
      </c>
    </row>
    <row r="913" spans="1:21" x14ac:dyDescent="0.3">
      <c r="A913" t="str">
        <f>"940026735"</f>
        <v>940026735</v>
      </c>
      <c r="D913" t="str">
        <f>"CDS LM DENTAIRE"</f>
        <v>CDS LM DENTAIRE</v>
      </c>
      <c r="F913" t="str">
        <f>"8 PLACE PIERRE SEMARD"</f>
        <v>8 PLACE PIERRE SEMARD</v>
      </c>
      <c r="H913" t="str">
        <f>"94190"</f>
        <v>94190</v>
      </c>
      <c r="I913" t="str">
        <f>"VILLENEUVE ST GEORGES"</f>
        <v>VILLENEUVE ST GEORGES</v>
      </c>
      <c r="L913" s="1">
        <v>44197</v>
      </c>
      <c r="M913" t="str">
        <f t="shared" si="154"/>
        <v>124</v>
      </c>
      <c r="N913" t="str">
        <f t="shared" si="155"/>
        <v>Centre de Santé</v>
      </c>
      <c r="O913" t="str">
        <f t="shared" si="158"/>
        <v>60</v>
      </c>
      <c r="P913" t="str">
        <f t="shared" si="159"/>
        <v>Association Loi 1901 non Reconnue d'Utilité Publique</v>
      </c>
      <c r="Q913" t="str">
        <f t="shared" si="156"/>
        <v>36</v>
      </c>
      <c r="R913" t="str">
        <f t="shared" si="157"/>
        <v>Tarifs conventionnels assurance maladie</v>
      </c>
      <c r="U913" t="str">
        <f>"770023687"</f>
        <v>770023687</v>
      </c>
    </row>
    <row r="914" spans="1:21" x14ac:dyDescent="0.3">
      <c r="A914" t="str">
        <f>"340028414"</f>
        <v>340028414</v>
      </c>
      <c r="B914" t="str">
        <f>"213 400 815 00105"</f>
        <v>213 400 815 00105</v>
      </c>
      <c r="D914" t="str">
        <f>"CTRE MUNICIPAL DE SANTE DE COLOMBIERS"</f>
        <v>CTRE MUNICIPAL DE SANTE DE COLOMBIERS</v>
      </c>
      <c r="F914" t="str">
        <f>"1 TRAVERSE DE BEZIERS"</f>
        <v>1 TRAVERSE DE BEZIERS</v>
      </c>
      <c r="H914" t="str">
        <f>"34440"</f>
        <v>34440</v>
      </c>
      <c r="I914" t="str">
        <f>"COLOMBIERS"</f>
        <v>COLOMBIERS</v>
      </c>
      <c r="L914" s="1">
        <v>44196</v>
      </c>
      <c r="M914" t="str">
        <f t="shared" si="154"/>
        <v>124</v>
      </c>
      <c r="N914" t="str">
        <f t="shared" si="155"/>
        <v>Centre de Santé</v>
      </c>
      <c r="O914" t="str">
        <f>"03"</f>
        <v>03</v>
      </c>
      <c r="P914" t="str">
        <f>"Commune"</f>
        <v>Commune</v>
      </c>
      <c r="Q914" t="str">
        <f t="shared" si="156"/>
        <v>36</v>
      </c>
      <c r="R914" t="str">
        <f t="shared" si="157"/>
        <v>Tarifs conventionnels assurance maladie</v>
      </c>
      <c r="U914" t="str">
        <f>"340028406"</f>
        <v>340028406</v>
      </c>
    </row>
    <row r="915" spans="1:21" x14ac:dyDescent="0.3">
      <c r="A915" t="str">
        <f>"280008772"</f>
        <v>280008772</v>
      </c>
      <c r="B915" t="str">
        <f>"130 026 792 00023"</f>
        <v>130 026 792 00023</v>
      </c>
      <c r="D915" t="str">
        <f>"CDS TOURY - JANVILLE EN BEAUCE"</f>
        <v>CDS TOURY - JANVILLE EN BEAUCE</v>
      </c>
      <c r="F915" t="str">
        <f>"11 AVENUE DU PAVILLON"</f>
        <v>11 AVENUE DU PAVILLON</v>
      </c>
      <c r="H915" t="str">
        <f>"28310"</f>
        <v>28310</v>
      </c>
      <c r="I915" t="str">
        <f>"TOURY"</f>
        <v>TOURY</v>
      </c>
      <c r="J915" t="str">
        <f>"02 46 72 04 19 "</f>
        <v xml:space="preserve">02 46 72 04 19 </v>
      </c>
      <c r="L915" s="1">
        <v>44180</v>
      </c>
      <c r="M915" t="str">
        <f t="shared" si="154"/>
        <v>124</v>
      </c>
      <c r="N915" t="str">
        <f t="shared" si="155"/>
        <v>Centre de Santé</v>
      </c>
      <c r="O915" t="str">
        <f>"28"</f>
        <v>28</v>
      </c>
      <c r="P915" t="str">
        <f>"Groupement d'Intérêt Public (G.I.P.)"</f>
        <v>Groupement d'Intérêt Public (G.I.P.)</v>
      </c>
      <c r="Q915" t="str">
        <f>"99"</f>
        <v>99</v>
      </c>
      <c r="R915" t="str">
        <f>"Indéterminé"</f>
        <v>Indéterminé</v>
      </c>
      <c r="U915" t="str">
        <f>"450022801"</f>
        <v>450022801</v>
      </c>
    </row>
    <row r="916" spans="1:21" x14ac:dyDescent="0.3">
      <c r="A916" t="str">
        <f>"940026867"</f>
        <v>940026867</v>
      </c>
      <c r="B916" t="str">
        <f>"889 737 011 00011"</f>
        <v>889 737 011 00011</v>
      </c>
      <c r="D916" t="str">
        <f>"CDS MEDICAL ET OPHTALMO IVRY SUR SEINE"</f>
        <v>CDS MEDICAL ET OPHTALMO IVRY SUR SEINE</v>
      </c>
      <c r="F916" t="str">
        <f>"41 AVENUE DANIELLE CASANOVA"</f>
        <v>41 AVENUE DANIELLE CASANOVA</v>
      </c>
      <c r="H916" t="str">
        <f>"94200"</f>
        <v>94200</v>
      </c>
      <c r="I916" t="str">
        <f>"IVRY SUR SEINE"</f>
        <v>IVRY SUR SEINE</v>
      </c>
      <c r="J916" t="str">
        <f>"06 23 18 21 78 "</f>
        <v xml:space="preserve">06 23 18 21 78 </v>
      </c>
      <c r="L916" s="1">
        <v>44180</v>
      </c>
      <c r="M916" t="str">
        <f t="shared" si="154"/>
        <v>124</v>
      </c>
      <c r="N916" t="str">
        <f t="shared" si="155"/>
        <v>Centre de Santé</v>
      </c>
      <c r="O916" t="str">
        <f>"60"</f>
        <v>60</v>
      </c>
      <c r="P916" t="str">
        <f>"Association Loi 1901 non Reconnue d'Utilité Publique"</f>
        <v>Association Loi 1901 non Reconnue d'Utilité Publique</v>
      </c>
      <c r="Q916" t="str">
        <f t="shared" ref="Q916:Q929" si="160">"36"</f>
        <v>36</v>
      </c>
      <c r="R916" t="str">
        <f t="shared" ref="R916:R929" si="161">"Tarifs conventionnels assurance maladie"</f>
        <v>Tarifs conventionnels assurance maladie</v>
      </c>
      <c r="U916" t="str">
        <f>"940026859"</f>
        <v>940026859</v>
      </c>
    </row>
    <row r="917" spans="1:21" x14ac:dyDescent="0.3">
      <c r="A917" t="str">
        <f>"950045211"</f>
        <v>950045211</v>
      </c>
      <c r="B917" t="str">
        <f>"848 002 036 00020"</f>
        <v>848 002 036 00020</v>
      </c>
      <c r="D917" t="str">
        <f>"CDS OPHTALMOLOGIQUE HERBLAY"</f>
        <v>CDS OPHTALMOLOGIQUE HERBLAY</v>
      </c>
      <c r="F917" t="str">
        <f>"2 AVENUE PHILIPPE SEGUIN"</f>
        <v>2 AVENUE PHILIPPE SEGUIN</v>
      </c>
      <c r="H917" t="str">
        <f>"95220"</f>
        <v>95220</v>
      </c>
      <c r="I917" t="str">
        <f>"HERBLAY SUR SEINE"</f>
        <v>HERBLAY SUR SEINE</v>
      </c>
      <c r="J917" t="str">
        <f>"06 59 38 79 35 "</f>
        <v xml:space="preserve">06 59 38 79 35 </v>
      </c>
      <c r="L917" s="1">
        <v>44176</v>
      </c>
      <c r="M917" t="str">
        <f t="shared" si="154"/>
        <v>124</v>
      </c>
      <c r="N917" t="str">
        <f t="shared" si="155"/>
        <v>Centre de Santé</v>
      </c>
      <c r="O917" t="str">
        <f>"60"</f>
        <v>60</v>
      </c>
      <c r="P917" t="str">
        <f>"Association Loi 1901 non Reconnue d'Utilité Publique"</f>
        <v>Association Loi 1901 non Reconnue d'Utilité Publique</v>
      </c>
      <c r="Q917" t="str">
        <f t="shared" si="160"/>
        <v>36</v>
      </c>
      <c r="R917" t="str">
        <f t="shared" si="161"/>
        <v>Tarifs conventionnels assurance maladie</v>
      </c>
      <c r="U917" t="str">
        <f>"750062945"</f>
        <v>750062945</v>
      </c>
    </row>
    <row r="918" spans="1:21" x14ac:dyDescent="0.3">
      <c r="A918" t="str">
        <f>"350054847"</f>
        <v>350054847</v>
      </c>
      <c r="D918" t="str">
        <f>"CENTRE DE SANTE DU BLOSNE"</f>
        <v>CENTRE DE SANTE DU BLOSNE</v>
      </c>
      <c r="F918" t="str">
        <f>"1 PLACE DU BANAT"</f>
        <v>1 PLACE DU BANAT</v>
      </c>
      <c r="H918" t="str">
        <f>"35200"</f>
        <v>35200</v>
      </c>
      <c r="I918" t="str">
        <f>"RENNES"</f>
        <v>RENNES</v>
      </c>
      <c r="J918" t="str">
        <f>"06 44 75 22 49 "</f>
        <v xml:space="preserve">06 44 75 22 49 </v>
      </c>
      <c r="L918" s="1">
        <v>44175</v>
      </c>
      <c r="M918" t="str">
        <f t="shared" si="154"/>
        <v>124</v>
      </c>
      <c r="N918" t="str">
        <f t="shared" si="155"/>
        <v>Centre de Santé</v>
      </c>
      <c r="O918" t="str">
        <f>"60"</f>
        <v>60</v>
      </c>
      <c r="P918" t="str">
        <f>"Association Loi 1901 non Reconnue d'Utilité Publique"</f>
        <v>Association Loi 1901 non Reconnue d'Utilité Publique</v>
      </c>
      <c r="Q918" t="str">
        <f t="shared" si="160"/>
        <v>36</v>
      </c>
      <c r="R918" t="str">
        <f t="shared" si="161"/>
        <v>Tarifs conventionnels assurance maladie</v>
      </c>
      <c r="U918" t="str">
        <f>"350054839"</f>
        <v>350054839</v>
      </c>
    </row>
    <row r="919" spans="1:21" x14ac:dyDescent="0.3">
      <c r="A919" t="str">
        <f>"240017269"</f>
        <v>240017269</v>
      </c>
      <c r="B919" t="str">
        <f>"854 002 086 00023"</f>
        <v>854 002 086 00023</v>
      </c>
      <c r="D919" t="str">
        <f>"CDS SARLAT PERIGORD NOIR"</f>
        <v>CDS SARLAT PERIGORD NOIR</v>
      </c>
      <c r="F919" t="str">
        <f>"15 RUE GABRIEL TARDE"</f>
        <v>15 RUE GABRIEL TARDE</v>
      </c>
      <c r="H919" t="str">
        <f>"24200"</f>
        <v>24200</v>
      </c>
      <c r="I919" t="str">
        <f>"SARLAT LA CANEDA"</f>
        <v>SARLAT LA CANEDA</v>
      </c>
      <c r="J919" t="str">
        <f>"05 64 13 17 00 "</f>
        <v xml:space="preserve">05 64 13 17 00 </v>
      </c>
      <c r="L919" s="1">
        <v>44173</v>
      </c>
      <c r="M919" t="str">
        <f t="shared" si="154"/>
        <v>124</v>
      </c>
      <c r="N919" t="str">
        <f t="shared" si="155"/>
        <v>Centre de Santé</v>
      </c>
      <c r="O919" t="str">
        <f>"60"</f>
        <v>60</v>
      </c>
      <c r="P919" t="str">
        <f>"Association Loi 1901 non Reconnue d'Utilité Publique"</f>
        <v>Association Loi 1901 non Reconnue d'Utilité Publique</v>
      </c>
      <c r="Q919" t="str">
        <f t="shared" si="160"/>
        <v>36</v>
      </c>
      <c r="R919" t="str">
        <f t="shared" si="161"/>
        <v>Tarifs conventionnels assurance maladie</v>
      </c>
      <c r="U919" t="str">
        <f>"240017251"</f>
        <v>240017251</v>
      </c>
    </row>
    <row r="920" spans="1:21" x14ac:dyDescent="0.3">
      <c r="A920" t="str">
        <f>"750063646"</f>
        <v>750063646</v>
      </c>
      <c r="B920" t="str">
        <f>"808 814 669 00012"</f>
        <v>808 814 669 00012</v>
      </c>
      <c r="D920" t="str">
        <f>"CDS STATION FRANÇOIS MITTERRAND"</f>
        <v>CDS STATION FRANÇOIS MITTERRAND</v>
      </c>
      <c r="F920" t="str">
        <f>"83 RUE DE CHEVALERET"</f>
        <v>83 RUE DE CHEVALERET</v>
      </c>
      <c r="H920" t="str">
        <f>"75013"</f>
        <v>75013</v>
      </c>
      <c r="I920" t="str">
        <f>"PARIS"</f>
        <v>PARIS</v>
      </c>
      <c r="J920" t="str">
        <f>"06 20 32 61 05 "</f>
        <v xml:space="preserve">06 20 32 61 05 </v>
      </c>
      <c r="L920" s="1">
        <v>44173</v>
      </c>
      <c r="M920" t="str">
        <f t="shared" si="154"/>
        <v>124</v>
      </c>
      <c r="N920" t="str">
        <f t="shared" si="155"/>
        <v>Centre de Santé</v>
      </c>
      <c r="O920" t="str">
        <f>"60"</f>
        <v>60</v>
      </c>
      <c r="P920" t="str">
        <f>"Association Loi 1901 non Reconnue d'Utilité Publique"</f>
        <v>Association Loi 1901 non Reconnue d'Utilité Publique</v>
      </c>
      <c r="Q920" t="str">
        <f t="shared" si="160"/>
        <v>36</v>
      </c>
      <c r="R920" t="str">
        <f t="shared" si="161"/>
        <v>Tarifs conventionnels assurance maladie</v>
      </c>
      <c r="U920" t="str">
        <f>"750063604"</f>
        <v>750063604</v>
      </c>
    </row>
    <row r="921" spans="1:21" x14ac:dyDescent="0.3">
      <c r="A921" t="str">
        <f>"620035246"</f>
        <v>620035246</v>
      </c>
      <c r="B921" t="str">
        <f>"889 170 965 00012"</f>
        <v>889 170 965 00012</v>
      </c>
      <c r="D921" t="str">
        <f>"CSI ARRAS"</f>
        <v>CSI ARRAS</v>
      </c>
      <c r="F921" t="str">
        <f>"121 RUE DU TEMPLE"</f>
        <v>121 RUE DU TEMPLE</v>
      </c>
      <c r="H921" t="str">
        <f>"62000"</f>
        <v>62000</v>
      </c>
      <c r="I921" t="str">
        <f>"ARRAS"</f>
        <v>ARRAS</v>
      </c>
      <c r="L921" s="1">
        <v>44172</v>
      </c>
      <c r="M921" t="str">
        <f t="shared" si="154"/>
        <v>124</v>
      </c>
      <c r="N921" t="str">
        <f t="shared" si="155"/>
        <v>Centre de Santé</v>
      </c>
      <c r="O921" t="str">
        <f>"61"</f>
        <v>61</v>
      </c>
      <c r="P921" t="str">
        <f>"Association Loi 1901 Reconnue d'Utilité Publique"</f>
        <v>Association Loi 1901 Reconnue d'Utilité Publique</v>
      </c>
      <c r="Q921" t="str">
        <f t="shared" si="160"/>
        <v>36</v>
      </c>
      <c r="R921" t="str">
        <f t="shared" si="161"/>
        <v>Tarifs conventionnels assurance maladie</v>
      </c>
      <c r="U921" t="str">
        <f>"620035238"</f>
        <v>620035238</v>
      </c>
    </row>
    <row r="922" spans="1:21" x14ac:dyDescent="0.3">
      <c r="A922" t="str">
        <f>"750066169"</f>
        <v>750066169</v>
      </c>
      <c r="B922" t="str">
        <f>"885 385 823 00012"</f>
        <v>885 385 823 00012</v>
      </c>
      <c r="D922" t="str">
        <f>"CDS YAACOV"</f>
        <v>CDS YAACOV</v>
      </c>
      <c r="F922" t="str">
        <f>"157 BOULEVARD SERURIER"</f>
        <v>157 BOULEVARD SERURIER</v>
      </c>
      <c r="H922" t="str">
        <f>"75019"</f>
        <v>75019</v>
      </c>
      <c r="I922" t="str">
        <f>"PARIS"</f>
        <v>PARIS</v>
      </c>
      <c r="L922" s="1">
        <v>44172</v>
      </c>
      <c r="M922" t="str">
        <f t="shared" si="154"/>
        <v>124</v>
      </c>
      <c r="N922" t="str">
        <f t="shared" si="155"/>
        <v>Centre de Santé</v>
      </c>
      <c r="O922" t="str">
        <f>"60"</f>
        <v>60</v>
      </c>
      <c r="P922" t="str">
        <f>"Association Loi 1901 non Reconnue d'Utilité Publique"</f>
        <v>Association Loi 1901 non Reconnue d'Utilité Publique</v>
      </c>
      <c r="Q922" t="str">
        <f t="shared" si="160"/>
        <v>36</v>
      </c>
      <c r="R922" t="str">
        <f t="shared" si="161"/>
        <v>Tarifs conventionnels assurance maladie</v>
      </c>
      <c r="U922" t="str">
        <f>"750066151"</f>
        <v>750066151</v>
      </c>
    </row>
    <row r="923" spans="1:21" x14ac:dyDescent="0.3">
      <c r="A923" t="str">
        <f>"950045393"</f>
        <v>950045393</v>
      </c>
      <c r="B923" t="str">
        <f>"889 270 021 00013"</f>
        <v>889 270 021 00013</v>
      </c>
      <c r="D923" t="str">
        <f>"CDS MEDICAL ET DENTAIRE DE FOSSES"</f>
        <v>CDS MEDICAL ET DENTAIRE DE FOSSES</v>
      </c>
      <c r="F923" t="str">
        <f>"1 RUE PAUL VAILLANT COUTURIER"</f>
        <v>1 RUE PAUL VAILLANT COUTURIER</v>
      </c>
      <c r="H923" t="str">
        <f>"95470"</f>
        <v>95470</v>
      </c>
      <c r="I923" t="str">
        <f>"FOSSES"</f>
        <v>FOSSES</v>
      </c>
      <c r="J923" t="str">
        <f>"01 34 09 84 92 "</f>
        <v xml:space="preserve">01 34 09 84 92 </v>
      </c>
      <c r="L923" s="1">
        <v>44172</v>
      </c>
      <c r="M923" t="str">
        <f t="shared" si="154"/>
        <v>124</v>
      </c>
      <c r="N923" t="str">
        <f t="shared" si="155"/>
        <v>Centre de Santé</v>
      </c>
      <c r="O923" t="str">
        <f>"60"</f>
        <v>60</v>
      </c>
      <c r="P923" t="str">
        <f>"Association Loi 1901 non Reconnue d'Utilité Publique"</f>
        <v>Association Loi 1901 non Reconnue d'Utilité Publique</v>
      </c>
      <c r="Q923" t="str">
        <f t="shared" si="160"/>
        <v>36</v>
      </c>
      <c r="R923" t="str">
        <f t="shared" si="161"/>
        <v>Tarifs conventionnels assurance maladie</v>
      </c>
      <c r="U923" t="str">
        <f>"950045385"</f>
        <v>950045385</v>
      </c>
    </row>
    <row r="924" spans="1:21" x14ac:dyDescent="0.3">
      <c r="A924" t="str">
        <f>"490021995"</f>
        <v>490021995</v>
      </c>
      <c r="B924" t="str">
        <f>"775 609 621 02175"</f>
        <v>775 609 621 02175</v>
      </c>
      <c r="D924" t="str">
        <f>"SERVICE MEDICAL DE PROXIMITE"</f>
        <v>SERVICE MEDICAL DE PROXIMITE</v>
      </c>
      <c r="F924" t="str">
        <f>"4 RUE DU VAL DE LOIRE"</f>
        <v>4 RUE DU VAL DE LOIRE</v>
      </c>
      <c r="H924" t="str">
        <f>"49300"</f>
        <v>49300</v>
      </c>
      <c r="I924" t="str">
        <f>"CHOLET"</f>
        <v>CHOLET</v>
      </c>
      <c r="L924" s="1">
        <v>44168</v>
      </c>
      <c r="M924" t="str">
        <f t="shared" si="154"/>
        <v>124</v>
      </c>
      <c r="N924" t="str">
        <f t="shared" si="155"/>
        <v>Centre de Santé</v>
      </c>
      <c r="O924" t="str">
        <f>"47"</f>
        <v>47</v>
      </c>
      <c r="P924" t="str">
        <f>"Société Mutualiste"</f>
        <v>Société Mutualiste</v>
      </c>
      <c r="Q924" t="str">
        <f t="shared" si="160"/>
        <v>36</v>
      </c>
      <c r="R924" t="str">
        <f t="shared" si="161"/>
        <v>Tarifs conventionnels assurance maladie</v>
      </c>
      <c r="U924" t="str">
        <f>"490535168"</f>
        <v>490535168</v>
      </c>
    </row>
    <row r="925" spans="1:21" x14ac:dyDescent="0.3">
      <c r="A925" t="str">
        <f>"690048988"</f>
        <v>690048988</v>
      </c>
      <c r="B925" t="str">
        <f>"891 307 845 00018"</f>
        <v>891 307 845 00018</v>
      </c>
      <c r="D925" t="str">
        <f>"CENTRE DE SANTE DENTAIRE MEDIPARC"</f>
        <v>CENTRE DE SANTE DENTAIRE MEDIPARC</v>
      </c>
      <c r="F925" t="str">
        <f>"153 BOULEVARD STALINGRAD"</f>
        <v>153 BOULEVARD STALINGRAD</v>
      </c>
      <c r="H925" t="str">
        <f>"69006"</f>
        <v>69006</v>
      </c>
      <c r="I925" t="str">
        <f>"LYON"</f>
        <v>LYON</v>
      </c>
      <c r="J925" t="str">
        <f>"04 28 38 41 81 "</f>
        <v xml:space="preserve">04 28 38 41 81 </v>
      </c>
      <c r="L925" s="1">
        <v>44168</v>
      </c>
      <c r="M925" t="str">
        <f t="shared" si="154"/>
        <v>124</v>
      </c>
      <c r="N925" t="str">
        <f t="shared" si="155"/>
        <v>Centre de Santé</v>
      </c>
      <c r="O925" t="str">
        <f>"60"</f>
        <v>60</v>
      </c>
      <c r="P925" t="str">
        <f>"Association Loi 1901 non Reconnue d'Utilité Publique"</f>
        <v>Association Loi 1901 non Reconnue d'Utilité Publique</v>
      </c>
      <c r="Q925" t="str">
        <f t="shared" si="160"/>
        <v>36</v>
      </c>
      <c r="R925" t="str">
        <f t="shared" si="161"/>
        <v>Tarifs conventionnels assurance maladie</v>
      </c>
      <c r="U925" t="str">
        <f>"690048970"</f>
        <v>690048970</v>
      </c>
    </row>
    <row r="926" spans="1:21" x14ac:dyDescent="0.3">
      <c r="A926" t="str">
        <f>"290037803"</f>
        <v>290037803</v>
      </c>
      <c r="B926" t="str">
        <f>"891 121 675 00013"</f>
        <v>891 121 675 00013</v>
      </c>
      <c r="D926" t="str">
        <f>"CENTRE OPHTALMO BREST KERGORJU"</f>
        <v>CENTRE OPHTALMO BREST KERGORJU</v>
      </c>
      <c r="F926" t="str">
        <f>"9 RUE KERGORJU"</f>
        <v>9 RUE KERGORJU</v>
      </c>
      <c r="H926" t="str">
        <f>"29200"</f>
        <v>29200</v>
      </c>
      <c r="I926" t="str">
        <f>"BREST"</f>
        <v>BREST</v>
      </c>
      <c r="J926" t="str">
        <f>"09 82 58 53 28 "</f>
        <v xml:space="preserve">09 82 58 53 28 </v>
      </c>
      <c r="L926" s="1">
        <v>44167</v>
      </c>
      <c r="M926" t="str">
        <f t="shared" si="154"/>
        <v>124</v>
      </c>
      <c r="N926" t="str">
        <f t="shared" si="155"/>
        <v>Centre de Santé</v>
      </c>
      <c r="O926" t="str">
        <f>"60"</f>
        <v>60</v>
      </c>
      <c r="P926" t="str">
        <f>"Association Loi 1901 non Reconnue d'Utilité Publique"</f>
        <v>Association Loi 1901 non Reconnue d'Utilité Publique</v>
      </c>
      <c r="Q926" t="str">
        <f t="shared" si="160"/>
        <v>36</v>
      </c>
      <c r="R926" t="str">
        <f t="shared" si="161"/>
        <v>Tarifs conventionnels assurance maladie</v>
      </c>
      <c r="U926" t="str">
        <f>"290037795"</f>
        <v>290037795</v>
      </c>
    </row>
    <row r="927" spans="1:21" x14ac:dyDescent="0.3">
      <c r="A927" t="str">
        <f>"330061631"</f>
        <v>330061631</v>
      </c>
      <c r="B927" t="str">
        <f>"888 733 912 00016"</f>
        <v>888 733 912 00016</v>
      </c>
      <c r="D927" t="str">
        <f>"CDS OPHTALMIQUE"</f>
        <v>CDS OPHTALMIQUE</v>
      </c>
      <c r="F927" t="str">
        <f>"90 AVENUE DES 40 JOURNAUX"</f>
        <v>90 AVENUE DES 40 JOURNAUX</v>
      </c>
      <c r="H927" t="str">
        <f>"33000"</f>
        <v>33000</v>
      </c>
      <c r="I927" t="str">
        <f>"BORDEAUX"</f>
        <v>BORDEAUX</v>
      </c>
      <c r="J927" t="str">
        <f>"06 99 02 13 71 "</f>
        <v xml:space="preserve">06 99 02 13 71 </v>
      </c>
      <c r="L927" s="1">
        <v>44166</v>
      </c>
      <c r="M927" t="str">
        <f t="shared" si="154"/>
        <v>124</v>
      </c>
      <c r="N927" t="str">
        <f t="shared" si="155"/>
        <v>Centre de Santé</v>
      </c>
      <c r="O927" t="str">
        <f>"60"</f>
        <v>60</v>
      </c>
      <c r="P927" t="str">
        <f>"Association Loi 1901 non Reconnue d'Utilité Publique"</f>
        <v>Association Loi 1901 non Reconnue d'Utilité Publique</v>
      </c>
      <c r="Q927" t="str">
        <f t="shared" si="160"/>
        <v>36</v>
      </c>
      <c r="R927" t="str">
        <f t="shared" si="161"/>
        <v>Tarifs conventionnels assurance maladie</v>
      </c>
      <c r="U927" t="str">
        <f>"330061623"</f>
        <v>330061623</v>
      </c>
    </row>
    <row r="928" spans="1:21" x14ac:dyDescent="0.3">
      <c r="A928" t="str">
        <f>"680022720"</f>
        <v>680022720</v>
      </c>
      <c r="B928" t="str">
        <f>"888 338 357 00013"</f>
        <v>888 338 357 00013</v>
      </c>
      <c r="D928" t="str">
        <f>"CENTRE DE SANTE DENTAIRE MULHOUSE"</f>
        <v>CENTRE DE SANTE DENTAIRE MULHOUSE</v>
      </c>
      <c r="F928" t="str">
        <f>"15 RUE DES MARECHAUX"</f>
        <v>15 RUE DES MARECHAUX</v>
      </c>
      <c r="H928" t="str">
        <f>"68100"</f>
        <v>68100</v>
      </c>
      <c r="I928" t="str">
        <f>"MULHOUSE"</f>
        <v>MULHOUSE</v>
      </c>
      <c r="J928" t="str">
        <f>"03 68 32 99 39 "</f>
        <v xml:space="preserve">03 68 32 99 39 </v>
      </c>
      <c r="K928" t="str">
        <f>"03 67 35 09 69"</f>
        <v>03 67 35 09 69</v>
      </c>
      <c r="L928" s="1">
        <v>44166</v>
      </c>
      <c r="M928" t="str">
        <f t="shared" si="154"/>
        <v>124</v>
      </c>
      <c r="N928" t="str">
        <f t="shared" si="155"/>
        <v>Centre de Santé</v>
      </c>
      <c r="O928" t="str">
        <f>"62"</f>
        <v>62</v>
      </c>
      <c r="P928" t="str">
        <f>"Association de Droit Local"</f>
        <v>Association de Droit Local</v>
      </c>
      <c r="Q928" t="str">
        <f t="shared" si="160"/>
        <v>36</v>
      </c>
      <c r="R928" t="str">
        <f t="shared" si="161"/>
        <v>Tarifs conventionnels assurance maladie</v>
      </c>
      <c r="U928" t="str">
        <f>"680022712"</f>
        <v>680022712</v>
      </c>
    </row>
    <row r="929" spans="1:21" x14ac:dyDescent="0.3">
      <c r="A929" t="str">
        <f>"910025212"</f>
        <v>910025212</v>
      </c>
      <c r="B929" t="str">
        <f>"887 570 190 00017"</f>
        <v>887 570 190 00017</v>
      </c>
      <c r="D929" t="str">
        <f>"CDS MD ET ORTHO PLATEAU GIF CHEVRY"</f>
        <v>CDS MD ET ORTHO PLATEAU GIF CHEVRY</v>
      </c>
      <c r="F929" t="str">
        <f>"18 ALLEE DU CHAMPREAU"</f>
        <v>18 ALLEE DU CHAMPREAU</v>
      </c>
      <c r="H929" t="str">
        <f>"91190"</f>
        <v>91190</v>
      </c>
      <c r="I929" t="str">
        <f>"GIF SUR YVETTE"</f>
        <v>GIF SUR YVETTE</v>
      </c>
      <c r="J929" t="str">
        <f>"01 60 12 32 32 "</f>
        <v xml:space="preserve">01 60 12 32 32 </v>
      </c>
      <c r="L929" s="1">
        <v>44166</v>
      </c>
      <c r="M929" t="str">
        <f t="shared" si="154"/>
        <v>124</v>
      </c>
      <c r="N929" t="str">
        <f t="shared" si="155"/>
        <v>Centre de Santé</v>
      </c>
      <c r="O929" t="str">
        <f>"60"</f>
        <v>60</v>
      </c>
      <c r="P929" t="str">
        <f>"Association Loi 1901 non Reconnue d'Utilité Publique"</f>
        <v>Association Loi 1901 non Reconnue d'Utilité Publique</v>
      </c>
      <c r="Q929" t="str">
        <f t="shared" si="160"/>
        <v>36</v>
      </c>
      <c r="R929" t="str">
        <f t="shared" si="161"/>
        <v>Tarifs conventionnels assurance maladie</v>
      </c>
      <c r="U929" t="str">
        <f>"910025204"</f>
        <v>910025204</v>
      </c>
    </row>
    <row r="930" spans="1:21" x14ac:dyDescent="0.3">
      <c r="A930" t="str">
        <f>"600015812"</f>
        <v>600015812</v>
      </c>
      <c r="B930" t="str">
        <f>"882 296 379 00010"</f>
        <v>882 296 379 00010</v>
      </c>
      <c r="D930" t="str">
        <f>"ASSOC. DES CENTRES DE SANTE DOCREZO"</f>
        <v>ASSOC. DES CENTRES DE SANTE DOCREZO</v>
      </c>
      <c r="F930" t="str">
        <f>"4 AVENUE DU POTEAU"</f>
        <v>4 AVENUE DU POTEAU</v>
      </c>
      <c r="H930" t="str">
        <f>"60300"</f>
        <v>60300</v>
      </c>
      <c r="I930" t="str">
        <f>"CHAMANT"</f>
        <v>CHAMANT</v>
      </c>
      <c r="L930" s="1">
        <v>44165</v>
      </c>
      <c r="M930" t="str">
        <f t="shared" si="154"/>
        <v>124</v>
      </c>
      <c r="N930" t="str">
        <f t="shared" si="155"/>
        <v>Centre de Santé</v>
      </c>
      <c r="O930" t="str">
        <f>"61"</f>
        <v>61</v>
      </c>
      <c r="P930" t="str">
        <f>"Association Loi 1901 Reconnue d'Utilité Publique"</f>
        <v>Association Loi 1901 Reconnue d'Utilité Publique</v>
      </c>
      <c r="Q930" t="str">
        <f>"99"</f>
        <v>99</v>
      </c>
      <c r="R930" t="str">
        <f>"Indéterminé"</f>
        <v>Indéterminé</v>
      </c>
      <c r="U930" t="str">
        <f>"600015804"</f>
        <v>600015804</v>
      </c>
    </row>
    <row r="931" spans="1:21" x14ac:dyDescent="0.3">
      <c r="A931" t="str">
        <f>"160017075"</f>
        <v>160017075</v>
      </c>
      <c r="B931" t="str">
        <f>"221 600 018 00891"</f>
        <v>221 600 018 00891</v>
      </c>
      <c r="D931" t="str">
        <f>"CDS POLYVALENT DE BRIE"</f>
        <v>CDS POLYVALENT DE BRIE</v>
      </c>
      <c r="F931" t="str">
        <f>"210 RUE DE LA MAIRIE"</f>
        <v>210 RUE DE LA MAIRIE</v>
      </c>
      <c r="H931" t="str">
        <f>"16590"</f>
        <v>16590</v>
      </c>
      <c r="I931" t="str">
        <f>"BRIE"</f>
        <v>BRIE</v>
      </c>
      <c r="J931" t="str">
        <f>"05 16 09 51 71 "</f>
        <v xml:space="preserve">05 16 09 51 71 </v>
      </c>
      <c r="L931" s="1">
        <v>44158</v>
      </c>
      <c r="M931" t="str">
        <f t="shared" si="154"/>
        <v>124</v>
      </c>
      <c r="N931" t="str">
        <f t="shared" si="155"/>
        <v>Centre de Santé</v>
      </c>
      <c r="O931" t="str">
        <f>"02"</f>
        <v>02</v>
      </c>
      <c r="P931" t="str">
        <f>"Département"</f>
        <v>Département</v>
      </c>
      <c r="Q931" t="str">
        <f t="shared" ref="Q931:Q962" si="162">"36"</f>
        <v>36</v>
      </c>
      <c r="R931" t="str">
        <f t="shared" ref="R931:R962" si="163">"Tarifs conventionnels assurance maladie"</f>
        <v>Tarifs conventionnels assurance maladie</v>
      </c>
      <c r="U931" t="str">
        <f>"160007373"</f>
        <v>160007373</v>
      </c>
    </row>
    <row r="932" spans="1:21" x14ac:dyDescent="0.3">
      <c r="A932" t="str">
        <f>"540025889"</f>
        <v>540025889</v>
      </c>
      <c r="B932" t="str">
        <f>"883 545 980 00012"</f>
        <v>883 545 980 00012</v>
      </c>
      <c r="D932" t="str">
        <f>"CDS MEDICAL ET OPHTALMOLOGIQUE"</f>
        <v>CDS MEDICAL ET OPHTALMOLOGIQUE</v>
      </c>
      <c r="F932" t="str">
        <f>"2 PLACE DE LA REPUBLIQUE"</f>
        <v>2 PLACE DE LA REPUBLIQUE</v>
      </c>
      <c r="H932" t="str">
        <f>"54000"</f>
        <v>54000</v>
      </c>
      <c r="I932" t="str">
        <f>"NANCY"</f>
        <v>NANCY</v>
      </c>
      <c r="J932" t="str">
        <f>"03 72 47 22 22 "</f>
        <v xml:space="preserve">03 72 47 22 22 </v>
      </c>
      <c r="L932" s="1">
        <v>44158</v>
      </c>
      <c r="M932" t="str">
        <f t="shared" si="154"/>
        <v>124</v>
      </c>
      <c r="N932" t="str">
        <f t="shared" si="155"/>
        <v>Centre de Santé</v>
      </c>
      <c r="O932" t="str">
        <f>"60"</f>
        <v>60</v>
      </c>
      <c r="P932" t="str">
        <f>"Association Loi 1901 non Reconnue d'Utilité Publique"</f>
        <v>Association Loi 1901 non Reconnue d'Utilité Publique</v>
      </c>
      <c r="Q932" t="str">
        <f t="shared" si="162"/>
        <v>36</v>
      </c>
      <c r="R932" t="str">
        <f t="shared" si="163"/>
        <v>Tarifs conventionnels assurance maladie</v>
      </c>
      <c r="U932" t="str">
        <f>"540025871"</f>
        <v>540025871</v>
      </c>
    </row>
    <row r="933" spans="1:21" x14ac:dyDescent="0.3">
      <c r="A933" t="str">
        <f>"660012147"</f>
        <v>660012147</v>
      </c>
      <c r="D933" t="str">
        <f>"CENTRE DE SANTE DE L'HOTEL DE VILLE"</f>
        <v>CENTRE DE SANTE DE L'HOTEL DE VILLE</v>
      </c>
      <c r="F933" t="str">
        <f>"4 RUE EMMANUEL BROUSSE"</f>
        <v>4 RUE EMMANUEL BROUSSE</v>
      </c>
      <c r="H933" t="str">
        <f>"66000"</f>
        <v>66000</v>
      </c>
      <c r="I933" t="str">
        <f>"PERPIGNAN"</f>
        <v>PERPIGNAN</v>
      </c>
      <c r="J933" t="str">
        <f>"01 42 00 20 20 "</f>
        <v xml:space="preserve">01 42 00 20 20 </v>
      </c>
      <c r="L933" s="1">
        <v>44155</v>
      </c>
      <c r="M933" t="str">
        <f t="shared" si="154"/>
        <v>124</v>
      </c>
      <c r="N933" t="str">
        <f t="shared" si="155"/>
        <v>Centre de Santé</v>
      </c>
      <c r="O933" t="str">
        <f>"60"</f>
        <v>60</v>
      </c>
      <c r="P933" t="str">
        <f>"Association Loi 1901 non Reconnue d'Utilité Publique"</f>
        <v>Association Loi 1901 non Reconnue d'Utilité Publique</v>
      </c>
      <c r="Q933" t="str">
        <f t="shared" si="162"/>
        <v>36</v>
      </c>
      <c r="R933" t="str">
        <f t="shared" si="163"/>
        <v>Tarifs conventionnels assurance maladie</v>
      </c>
      <c r="U933" t="str">
        <f>"660012139"</f>
        <v>660012139</v>
      </c>
    </row>
    <row r="934" spans="1:21" x14ac:dyDescent="0.3">
      <c r="A934" t="str">
        <f>"800020828"</f>
        <v>800020828</v>
      </c>
      <c r="B934" t="str">
        <f>"888 571 817 00012"</f>
        <v>888 571 817 00012</v>
      </c>
      <c r="D934" t="str">
        <f>"CSP AMIENS"</f>
        <v>CSP AMIENS</v>
      </c>
      <c r="F934" t="str">
        <f>"26 RUE DE NOYON"</f>
        <v>26 RUE DE NOYON</v>
      </c>
      <c r="H934" t="str">
        <f>"80000"</f>
        <v>80000</v>
      </c>
      <c r="I934" t="str">
        <f>"AMIENS"</f>
        <v>AMIENS</v>
      </c>
      <c r="J934" t="str">
        <f>"06 64 39 75 09 "</f>
        <v xml:space="preserve">06 64 39 75 09 </v>
      </c>
      <c r="L934" s="1">
        <v>44155</v>
      </c>
      <c r="M934" t="str">
        <f t="shared" si="154"/>
        <v>124</v>
      </c>
      <c r="N934" t="str">
        <f t="shared" si="155"/>
        <v>Centre de Santé</v>
      </c>
      <c r="O934" t="str">
        <f>"61"</f>
        <v>61</v>
      </c>
      <c r="P934" t="str">
        <f>"Association Loi 1901 Reconnue d'Utilité Publique"</f>
        <v>Association Loi 1901 Reconnue d'Utilité Publique</v>
      </c>
      <c r="Q934" t="str">
        <f t="shared" si="162"/>
        <v>36</v>
      </c>
      <c r="R934" t="str">
        <f t="shared" si="163"/>
        <v>Tarifs conventionnels assurance maladie</v>
      </c>
      <c r="U934" t="str">
        <f>"800020810"</f>
        <v>800020810</v>
      </c>
    </row>
    <row r="935" spans="1:21" x14ac:dyDescent="0.3">
      <c r="A935" t="str">
        <f>"930030093"</f>
        <v>930030093</v>
      </c>
      <c r="B935" t="str">
        <f>"889 806 691 00016"</f>
        <v>889 806 691 00016</v>
      </c>
      <c r="D935" t="str">
        <f>"CDS DENTAIRE AULNAY SOUS BOIS"</f>
        <v>CDS DENTAIRE AULNAY SOUS BOIS</v>
      </c>
      <c r="F935" t="str">
        <f>"11 AVENUE ANATOLE FRANCE"</f>
        <v>11 AVENUE ANATOLE FRANCE</v>
      </c>
      <c r="H935" t="str">
        <f>"93600"</f>
        <v>93600</v>
      </c>
      <c r="I935" t="str">
        <f>"AULNAY SOUS BOIS"</f>
        <v>AULNAY SOUS BOIS</v>
      </c>
      <c r="L935" s="1">
        <v>44153</v>
      </c>
      <c r="M935" t="str">
        <f t="shared" si="154"/>
        <v>124</v>
      </c>
      <c r="N935" t="str">
        <f t="shared" si="155"/>
        <v>Centre de Santé</v>
      </c>
      <c r="O935" t="str">
        <f>"93"</f>
        <v>93</v>
      </c>
      <c r="P935" t="str">
        <f>"Société en commandite"</f>
        <v>Société en commandite</v>
      </c>
      <c r="Q935" t="str">
        <f t="shared" si="162"/>
        <v>36</v>
      </c>
      <c r="R935" t="str">
        <f t="shared" si="163"/>
        <v>Tarifs conventionnels assurance maladie</v>
      </c>
      <c r="U935" t="str">
        <f>"930030085"</f>
        <v>930030085</v>
      </c>
    </row>
    <row r="936" spans="1:21" x14ac:dyDescent="0.3">
      <c r="A936" t="str">
        <f>"610009003"</f>
        <v>610009003</v>
      </c>
      <c r="B936" t="str">
        <f>"226 100 014 00175"</f>
        <v>226 100 014 00175</v>
      </c>
      <c r="D936" t="str">
        <f>"CENTRE TERRITORIAL DE SANTÉ"</f>
        <v>CENTRE TERRITORIAL DE SANTÉ</v>
      </c>
      <c r="F936" t="str">
        <f>"17 AVENUE DU DOCTEUR JACQUES AIMEZ"</f>
        <v>17 AVENUE DU DOCTEUR JACQUES AIMEZ</v>
      </c>
      <c r="H936" t="str">
        <f>"61140"</f>
        <v>61140</v>
      </c>
      <c r="I936" t="str">
        <f>"BAGNOLES DE L ORNE NORMAND"</f>
        <v>BAGNOLES DE L ORNE NORMAND</v>
      </c>
      <c r="L936" s="1">
        <v>44151</v>
      </c>
      <c r="M936" t="str">
        <f t="shared" si="154"/>
        <v>124</v>
      </c>
      <c r="N936" t="str">
        <f t="shared" si="155"/>
        <v>Centre de Santé</v>
      </c>
      <c r="O936" t="str">
        <f>"02"</f>
        <v>02</v>
      </c>
      <c r="P936" t="str">
        <f>"Département"</f>
        <v>Département</v>
      </c>
      <c r="Q936" t="str">
        <f t="shared" si="162"/>
        <v>36</v>
      </c>
      <c r="R936" t="str">
        <f t="shared" si="163"/>
        <v>Tarifs conventionnels assurance maladie</v>
      </c>
      <c r="U936" t="str">
        <f>"610000911"</f>
        <v>610000911</v>
      </c>
    </row>
    <row r="937" spans="1:21" x14ac:dyDescent="0.3">
      <c r="A937" t="str">
        <f>"670020932"</f>
        <v>670020932</v>
      </c>
      <c r="B937" t="str">
        <f>"891 438 129 00027"</f>
        <v>891 438 129 00027</v>
      </c>
      <c r="D937" t="str">
        <f>"CENTRE DE SANTE MED E-SANTE DIABETE"</f>
        <v>CENTRE DE SANTE MED E-SANTE DIABETE</v>
      </c>
      <c r="E937" t="str">
        <f>"BATIMENT RACINE"</f>
        <v>BATIMENT RACINE</v>
      </c>
      <c r="F937" t="str">
        <f>"9 RUE ALBERT CALMETTE"</f>
        <v>9 RUE ALBERT CALMETTE</v>
      </c>
      <c r="H937" t="str">
        <f>"67200"</f>
        <v>67200</v>
      </c>
      <c r="I937" t="str">
        <f>"STRASBOURG"</f>
        <v>STRASBOURG</v>
      </c>
      <c r="J937" t="str">
        <f>"03 88 28 60 00 "</f>
        <v xml:space="preserve">03 88 28 60 00 </v>
      </c>
      <c r="L937" s="1">
        <v>44151</v>
      </c>
      <c r="M937" t="str">
        <f t="shared" si="154"/>
        <v>124</v>
      </c>
      <c r="N937" t="str">
        <f t="shared" si="155"/>
        <v>Centre de Santé</v>
      </c>
      <c r="O937" t="str">
        <f>"62"</f>
        <v>62</v>
      </c>
      <c r="P937" t="str">
        <f>"Association de Droit Local"</f>
        <v>Association de Droit Local</v>
      </c>
      <c r="Q937" t="str">
        <f t="shared" si="162"/>
        <v>36</v>
      </c>
      <c r="R937" t="str">
        <f t="shared" si="163"/>
        <v>Tarifs conventionnels assurance maladie</v>
      </c>
      <c r="U937" t="str">
        <f>"670020924"</f>
        <v>670020924</v>
      </c>
    </row>
    <row r="938" spans="1:21" x14ac:dyDescent="0.3">
      <c r="A938" t="str">
        <f>"910024983"</f>
        <v>910024983</v>
      </c>
      <c r="B938" t="str">
        <f>"880 778 600 00028"</f>
        <v>880 778 600 00028</v>
      </c>
      <c r="D938" t="str">
        <f>"CDS DENTAIRE DE JUVISY"</f>
        <v>CDS DENTAIRE DE JUVISY</v>
      </c>
      <c r="F938" t="str">
        <f>"14 AVENUE D'ESTIENNE D'ORVES"</f>
        <v>14 AVENUE D'ESTIENNE D'ORVES</v>
      </c>
      <c r="H938" t="str">
        <f>"91260"</f>
        <v>91260</v>
      </c>
      <c r="I938" t="str">
        <f>"JUVISY SUR ORGE"</f>
        <v>JUVISY SUR ORGE</v>
      </c>
      <c r="J938" t="str">
        <f>"01 86 24 01 75 "</f>
        <v xml:space="preserve">01 86 24 01 75 </v>
      </c>
      <c r="L938" s="1">
        <v>44150</v>
      </c>
      <c r="M938" t="str">
        <f t="shared" si="154"/>
        <v>124</v>
      </c>
      <c r="N938" t="str">
        <f t="shared" si="155"/>
        <v>Centre de Santé</v>
      </c>
      <c r="O938" t="str">
        <f>"60"</f>
        <v>60</v>
      </c>
      <c r="P938" t="str">
        <f>"Association Loi 1901 non Reconnue d'Utilité Publique"</f>
        <v>Association Loi 1901 non Reconnue d'Utilité Publique</v>
      </c>
      <c r="Q938" t="str">
        <f t="shared" si="162"/>
        <v>36</v>
      </c>
      <c r="R938" t="str">
        <f t="shared" si="163"/>
        <v>Tarifs conventionnels assurance maladie</v>
      </c>
      <c r="U938" t="str">
        <f>"910026459"</f>
        <v>910026459</v>
      </c>
    </row>
    <row r="939" spans="1:21" x14ac:dyDescent="0.3">
      <c r="A939" t="str">
        <f>"330061532"</f>
        <v>330061532</v>
      </c>
      <c r="B939" t="str">
        <f>"879 822 005 00010"</f>
        <v>879 822 005 00010</v>
      </c>
      <c r="D939" t="str">
        <f>"CDS DENTAIRE BORDEAUX LAC"</f>
        <v>CDS DENTAIRE BORDEAUX LAC</v>
      </c>
      <c r="F939" t="str">
        <f>"90 AVENUE DES QUARANTE JOURNAUX"</f>
        <v>90 AVENUE DES QUARANTE JOURNAUX</v>
      </c>
      <c r="H939" t="str">
        <f>"33300"</f>
        <v>33300</v>
      </c>
      <c r="I939" t="str">
        <f>"BORDEAUX"</f>
        <v>BORDEAUX</v>
      </c>
      <c r="J939" t="str">
        <f>"06 88 40 95 35 "</f>
        <v xml:space="preserve">06 88 40 95 35 </v>
      </c>
      <c r="L939" s="1">
        <v>44145</v>
      </c>
      <c r="M939" t="str">
        <f t="shared" si="154"/>
        <v>124</v>
      </c>
      <c r="N939" t="str">
        <f t="shared" si="155"/>
        <v>Centre de Santé</v>
      </c>
      <c r="O939" t="str">
        <f>"60"</f>
        <v>60</v>
      </c>
      <c r="P939" t="str">
        <f>"Association Loi 1901 non Reconnue d'Utilité Publique"</f>
        <v>Association Loi 1901 non Reconnue d'Utilité Publique</v>
      </c>
      <c r="Q939" t="str">
        <f t="shared" si="162"/>
        <v>36</v>
      </c>
      <c r="R939" t="str">
        <f t="shared" si="163"/>
        <v>Tarifs conventionnels assurance maladie</v>
      </c>
      <c r="U939" t="str">
        <f>"330061524"</f>
        <v>330061524</v>
      </c>
    </row>
    <row r="940" spans="1:21" x14ac:dyDescent="0.3">
      <c r="A940" t="str">
        <f>"710016452"</f>
        <v>710016452</v>
      </c>
      <c r="B940" t="str">
        <f>"227 100 013 00738"</f>
        <v>227 100 013 00738</v>
      </c>
      <c r="D940" t="str">
        <f>"CENTRE DE SANTE TERRITORIAL DU CREUSOT"</f>
        <v>CENTRE DE SANTE TERRITORIAL DU CREUSOT</v>
      </c>
      <c r="F940" t="str">
        <f>"3 AVENUE FRANCOIS MITERRAND"</f>
        <v>3 AVENUE FRANCOIS MITERRAND</v>
      </c>
      <c r="H940" t="str">
        <f>"71200"</f>
        <v>71200</v>
      </c>
      <c r="I940" t="str">
        <f>"LE CREUSOT"</f>
        <v>LE CREUSOT</v>
      </c>
      <c r="L940" s="1">
        <v>44145</v>
      </c>
      <c r="M940" t="str">
        <f t="shared" si="154"/>
        <v>124</v>
      </c>
      <c r="N940" t="str">
        <f t="shared" si="155"/>
        <v>Centre de Santé</v>
      </c>
      <c r="O940" t="str">
        <f>"02"</f>
        <v>02</v>
      </c>
      <c r="P940" t="str">
        <f>"Département"</f>
        <v>Département</v>
      </c>
      <c r="Q940" t="str">
        <f t="shared" si="162"/>
        <v>36</v>
      </c>
      <c r="R940" t="str">
        <f t="shared" si="163"/>
        <v>Tarifs conventionnels assurance maladie</v>
      </c>
      <c r="U940" t="str">
        <f>"710015694"</f>
        <v>710015694</v>
      </c>
    </row>
    <row r="941" spans="1:21" x14ac:dyDescent="0.3">
      <c r="A941" t="str">
        <f>"620035196"</f>
        <v>620035196</v>
      </c>
      <c r="B941" t="str">
        <f>"480 543 982 00023"</f>
        <v>480 543 982 00023</v>
      </c>
      <c r="D941" t="str">
        <f>"CSS LE CHEVAL BLEU BULLY"</f>
        <v>CSS LE CHEVAL BLEU BULLY</v>
      </c>
      <c r="F941" t="str">
        <f>"29 RUE ROGER SALENGRO"</f>
        <v>29 RUE ROGER SALENGRO</v>
      </c>
      <c r="H941" t="str">
        <f>"62160"</f>
        <v>62160</v>
      </c>
      <c r="I941" t="str">
        <f>"BULLY LES MINES"</f>
        <v>BULLY LES MINES</v>
      </c>
      <c r="J941" t="str">
        <f>"03 21 45 37 61 "</f>
        <v xml:space="preserve">03 21 45 37 61 </v>
      </c>
      <c r="L941" s="1">
        <v>44141</v>
      </c>
      <c r="M941" t="str">
        <f t="shared" si="154"/>
        <v>124</v>
      </c>
      <c r="N941" t="str">
        <f t="shared" si="155"/>
        <v>Centre de Santé</v>
      </c>
      <c r="O941" t="str">
        <f>"60"</f>
        <v>60</v>
      </c>
      <c r="P941" t="str">
        <f>"Association Loi 1901 non Reconnue d'Utilité Publique"</f>
        <v>Association Loi 1901 non Reconnue d'Utilité Publique</v>
      </c>
      <c r="Q941" t="str">
        <f t="shared" si="162"/>
        <v>36</v>
      </c>
      <c r="R941" t="str">
        <f t="shared" si="163"/>
        <v>Tarifs conventionnels assurance maladie</v>
      </c>
      <c r="U941" t="str">
        <f>"620027144"</f>
        <v>620027144</v>
      </c>
    </row>
    <row r="942" spans="1:21" x14ac:dyDescent="0.3">
      <c r="A942" t="str">
        <f>"590064879"</f>
        <v>590064879</v>
      </c>
      <c r="B942" t="str">
        <f>"888 168 663 00019"</f>
        <v>888 168 663 00019</v>
      </c>
      <c r="D942" t="str">
        <f>"CSI DE FERRIÈRE-LA-GRANDE"</f>
        <v>CSI DE FERRIÈRE-LA-GRANDE</v>
      </c>
      <c r="F942" t="str">
        <f>"41 RUE VICTOR HUGO"</f>
        <v>41 RUE VICTOR HUGO</v>
      </c>
      <c r="H942" t="str">
        <f>"59680"</f>
        <v>59680</v>
      </c>
      <c r="I942" t="str">
        <f>"FERRIERE LA GRANDE"</f>
        <v>FERRIERE LA GRANDE</v>
      </c>
      <c r="L942" s="1">
        <v>44140</v>
      </c>
      <c r="M942" t="str">
        <f t="shared" si="154"/>
        <v>124</v>
      </c>
      <c r="N942" t="str">
        <f t="shared" si="155"/>
        <v>Centre de Santé</v>
      </c>
      <c r="O942" t="str">
        <f>"61"</f>
        <v>61</v>
      </c>
      <c r="P942" t="str">
        <f>"Association Loi 1901 Reconnue d'Utilité Publique"</f>
        <v>Association Loi 1901 Reconnue d'Utilité Publique</v>
      </c>
      <c r="Q942" t="str">
        <f t="shared" si="162"/>
        <v>36</v>
      </c>
      <c r="R942" t="str">
        <f t="shared" si="163"/>
        <v>Tarifs conventionnels assurance maladie</v>
      </c>
      <c r="U942" t="str">
        <f>"590064861"</f>
        <v>590064861</v>
      </c>
    </row>
    <row r="943" spans="1:21" x14ac:dyDescent="0.3">
      <c r="A943" t="str">
        <f>"620035147"</f>
        <v>620035147</v>
      </c>
      <c r="B943" t="str">
        <f>"885 145 490 00011"</f>
        <v>885 145 490 00011</v>
      </c>
      <c r="D943" t="str">
        <f>"CSI CALAIS"</f>
        <v>CSI CALAIS</v>
      </c>
      <c r="F943" t="str">
        <f>"13 RUE MONSEIGNEUR PIEDFORT"</f>
        <v>13 RUE MONSEIGNEUR PIEDFORT</v>
      </c>
      <c r="H943" t="str">
        <f>"62100"</f>
        <v>62100</v>
      </c>
      <c r="I943" t="str">
        <f>"CALAIS"</f>
        <v>CALAIS</v>
      </c>
      <c r="L943" s="1">
        <v>44140</v>
      </c>
      <c r="M943" t="str">
        <f t="shared" si="154"/>
        <v>124</v>
      </c>
      <c r="N943" t="str">
        <f t="shared" si="155"/>
        <v>Centre de Santé</v>
      </c>
      <c r="O943" t="str">
        <f>"61"</f>
        <v>61</v>
      </c>
      <c r="P943" t="str">
        <f>"Association Loi 1901 Reconnue d'Utilité Publique"</f>
        <v>Association Loi 1901 Reconnue d'Utilité Publique</v>
      </c>
      <c r="Q943" t="str">
        <f t="shared" si="162"/>
        <v>36</v>
      </c>
      <c r="R943" t="str">
        <f t="shared" si="163"/>
        <v>Tarifs conventionnels assurance maladie</v>
      </c>
      <c r="U943" t="str">
        <f>"620035139"</f>
        <v>620035139</v>
      </c>
    </row>
    <row r="944" spans="1:21" x14ac:dyDescent="0.3">
      <c r="A944" t="str">
        <f>"940025711"</f>
        <v>940025711</v>
      </c>
      <c r="B944" t="str">
        <f>"851 266 791 00017"</f>
        <v>851 266 791 00017</v>
      </c>
      <c r="D944" t="str">
        <f>"CDS ACCESS RADIOLOGIE IVRY"</f>
        <v>CDS ACCESS RADIOLOGIE IVRY</v>
      </c>
      <c r="F944" t="str">
        <f>"3 RUE GABRIEL PERI"</f>
        <v>3 RUE GABRIEL PERI</v>
      </c>
      <c r="H944" t="str">
        <f>"94200"</f>
        <v>94200</v>
      </c>
      <c r="I944" t="str">
        <f>"IVRY SUR SEINE"</f>
        <v>IVRY SUR SEINE</v>
      </c>
      <c r="L944" s="1">
        <v>44137</v>
      </c>
      <c r="M944" t="str">
        <f t="shared" si="154"/>
        <v>124</v>
      </c>
      <c r="N944" t="str">
        <f t="shared" si="155"/>
        <v>Centre de Santé</v>
      </c>
      <c r="O944" t="str">
        <f>"60"</f>
        <v>60</v>
      </c>
      <c r="P944" t="str">
        <f>"Association Loi 1901 non Reconnue d'Utilité Publique"</f>
        <v>Association Loi 1901 non Reconnue d'Utilité Publique</v>
      </c>
      <c r="Q944" t="str">
        <f t="shared" si="162"/>
        <v>36</v>
      </c>
      <c r="R944" t="str">
        <f t="shared" si="163"/>
        <v>Tarifs conventionnels assurance maladie</v>
      </c>
      <c r="U944" t="str">
        <f>"940025695"</f>
        <v>940025695</v>
      </c>
    </row>
    <row r="945" spans="1:21" x14ac:dyDescent="0.3">
      <c r="A945" t="str">
        <f>"950045153"</f>
        <v>950045153</v>
      </c>
      <c r="B945" t="str">
        <f>"882 424 575 00018"</f>
        <v>882 424 575 00018</v>
      </c>
      <c r="D945" t="str">
        <f>"CDS OPHTALMOLOGIQUE ERMONT"</f>
        <v>CDS OPHTALMOLOGIQUE ERMONT</v>
      </c>
      <c r="F945" t="str">
        <f>"10 RUE DE STALINGRAD"</f>
        <v>10 RUE DE STALINGRAD</v>
      </c>
      <c r="H945" t="str">
        <f>"95120"</f>
        <v>95120</v>
      </c>
      <c r="I945" t="str">
        <f>"ERMONT"</f>
        <v>ERMONT</v>
      </c>
      <c r="L945" s="1">
        <v>44137</v>
      </c>
      <c r="M945" t="str">
        <f t="shared" si="154"/>
        <v>124</v>
      </c>
      <c r="N945" t="str">
        <f t="shared" si="155"/>
        <v>Centre de Santé</v>
      </c>
      <c r="O945" t="str">
        <f>"60"</f>
        <v>60</v>
      </c>
      <c r="P945" t="str">
        <f>"Association Loi 1901 non Reconnue d'Utilité Publique"</f>
        <v>Association Loi 1901 non Reconnue d'Utilité Publique</v>
      </c>
      <c r="Q945" t="str">
        <f t="shared" si="162"/>
        <v>36</v>
      </c>
      <c r="R945" t="str">
        <f t="shared" si="163"/>
        <v>Tarifs conventionnels assurance maladie</v>
      </c>
      <c r="U945" t="str">
        <f>"950045021"</f>
        <v>950045021</v>
      </c>
    </row>
    <row r="946" spans="1:21" x14ac:dyDescent="0.3">
      <c r="A946" t="str">
        <f>"130050990"</f>
        <v>130050990</v>
      </c>
      <c r="B946" t="str">
        <f>"882 106 339 00014"</f>
        <v>882 106 339 00014</v>
      </c>
      <c r="D946" t="str">
        <f>"CENTRE DE SANTE VISUELLE"</f>
        <v>CENTRE DE SANTE VISUELLE</v>
      </c>
      <c r="F946" t="str">
        <f>"78 RUE DE RUFFI"</f>
        <v>78 RUE DE RUFFI</v>
      </c>
      <c r="H946" t="str">
        <f>"13003"</f>
        <v>13003</v>
      </c>
      <c r="I946" t="str">
        <f>"MARSEILLE"</f>
        <v>MARSEILLE</v>
      </c>
      <c r="J946" t="str">
        <f>"04 84 89 48 88 "</f>
        <v xml:space="preserve">04 84 89 48 88 </v>
      </c>
      <c r="L946" s="1">
        <v>44136</v>
      </c>
      <c r="M946" t="str">
        <f t="shared" si="154"/>
        <v>124</v>
      </c>
      <c r="N946" t="str">
        <f t="shared" si="155"/>
        <v>Centre de Santé</v>
      </c>
      <c r="O946" t="str">
        <f>"61"</f>
        <v>61</v>
      </c>
      <c r="P946" t="str">
        <f>"Association Loi 1901 Reconnue d'Utilité Publique"</f>
        <v>Association Loi 1901 Reconnue d'Utilité Publique</v>
      </c>
      <c r="Q946" t="str">
        <f t="shared" si="162"/>
        <v>36</v>
      </c>
      <c r="R946" t="str">
        <f t="shared" si="163"/>
        <v>Tarifs conventionnels assurance maladie</v>
      </c>
      <c r="U946" t="str">
        <f>"130050982"</f>
        <v>130050982</v>
      </c>
    </row>
    <row r="947" spans="1:21" x14ac:dyDescent="0.3">
      <c r="A947" t="str">
        <f>"660012121"</f>
        <v>660012121</v>
      </c>
      <c r="B947" t="str">
        <f>"216 600 692 00018"</f>
        <v>216 600 692 00018</v>
      </c>
      <c r="D947" t="str">
        <f>"CENTRE MUNICIPAL DE SANTE ESPIRA"</f>
        <v>CENTRE MUNICIPAL DE SANTE ESPIRA</v>
      </c>
      <c r="F947" t="str">
        <f>"PLACE JAUPART"</f>
        <v>PLACE JAUPART</v>
      </c>
      <c r="H947" t="str">
        <f>"66600"</f>
        <v>66600</v>
      </c>
      <c r="I947" t="str">
        <f>"ESPIRA DE L AGLY"</f>
        <v>ESPIRA DE L AGLY</v>
      </c>
      <c r="J947" t="str">
        <f>"04 68 64 17 53 "</f>
        <v xml:space="preserve">04 68 64 17 53 </v>
      </c>
      <c r="L947" s="1">
        <v>44136</v>
      </c>
      <c r="M947" t="str">
        <f t="shared" si="154"/>
        <v>124</v>
      </c>
      <c r="N947" t="str">
        <f t="shared" si="155"/>
        <v>Centre de Santé</v>
      </c>
      <c r="O947" t="str">
        <f>"03"</f>
        <v>03</v>
      </c>
      <c r="P947" t="str">
        <f>"Commune"</f>
        <v>Commune</v>
      </c>
      <c r="Q947" t="str">
        <f t="shared" si="162"/>
        <v>36</v>
      </c>
      <c r="R947" t="str">
        <f t="shared" si="163"/>
        <v>Tarifs conventionnels assurance maladie</v>
      </c>
      <c r="U947" t="str">
        <f>"660012113"</f>
        <v>660012113</v>
      </c>
    </row>
    <row r="948" spans="1:21" x14ac:dyDescent="0.3">
      <c r="A948" t="str">
        <f>"910025063"</f>
        <v>910025063</v>
      </c>
      <c r="B948" t="str">
        <f>"884 055 450 00016"</f>
        <v>884 055 450 00016</v>
      </c>
      <c r="D948" t="str">
        <f>"CDS MON O'"</f>
        <v>CDS MON O'</v>
      </c>
      <c r="F948" t="str">
        <f>"16 AVENUE DARBLAY"</f>
        <v>16 AVENUE DARBLAY</v>
      </c>
      <c r="H948" t="str">
        <f>"91100"</f>
        <v>91100</v>
      </c>
      <c r="I948" t="str">
        <f>"CORBEIL ESSONNES"</f>
        <v>CORBEIL ESSONNES</v>
      </c>
      <c r="L948" s="1">
        <v>44136</v>
      </c>
      <c r="M948" t="str">
        <f t="shared" si="154"/>
        <v>124</v>
      </c>
      <c r="N948" t="str">
        <f t="shared" si="155"/>
        <v>Centre de Santé</v>
      </c>
      <c r="O948" t="str">
        <f>"60"</f>
        <v>60</v>
      </c>
      <c r="P948" t="str">
        <f>"Association Loi 1901 non Reconnue d'Utilité Publique"</f>
        <v>Association Loi 1901 non Reconnue d'Utilité Publique</v>
      </c>
      <c r="Q948" t="str">
        <f t="shared" si="162"/>
        <v>36</v>
      </c>
      <c r="R948" t="str">
        <f t="shared" si="163"/>
        <v>Tarifs conventionnels assurance maladie</v>
      </c>
      <c r="U948" t="str">
        <f>"910025055"</f>
        <v>910025055</v>
      </c>
    </row>
    <row r="949" spans="1:21" x14ac:dyDescent="0.3">
      <c r="A949" t="str">
        <f>"750066185"</f>
        <v>750066185</v>
      </c>
      <c r="B949" t="str">
        <f>"889 196 499 00012"</f>
        <v>889 196 499 00012</v>
      </c>
      <c r="D949" t="str">
        <f>"CDS MEDICAL IDEAL SANTE"</f>
        <v>CDS MEDICAL IDEAL SANTE</v>
      </c>
      <c r="F949" t="str">
        <f>"84 RUE D'AMSTERDAM"</f>
        <v>84 RUE D'AMSTERDAM</v>
      </c>
      <c r="H949" t="str">
        <f>"75009"</f>
        <v>75009</v>
      </c>
      <c r="I949" t="str">
        <f>"PARIS"</f>
        <v>PARIS</v>
      </c>
      <c r="J949" t="str">
        <f>"06 87 57 94 59 "</f>
        <v xml:space="preserve">06 87 57 94 59 </v>
      </c>
      <c r="L949" s="1">
        <v>44130</v>
      </c>
      <c r="M949" t="str">
        <f t="shared" si="154"/>
        <v>124</v>
      </c>
      <c r="N949" t="str">
        <f t="shared" si="155"/>
        <v>Centre de Santé</v>
      </c>
      <c r="O949" t="str">
        <f>"60"</f>
        <v>60</v>
      </c>
      <c r="P949" t="str">
        <f>"Association Loi 1901 non Reconnue d'Utilité Publique"</f>
        <v>Association Loi 1901 non Reconnue d'Utilité Publique</v>
      </c>
      <c r="Q949" t="str">
        <f t="shared" si="162"/>
        <v>36</v>
      </c>
      <c r="R949" t="str">
        <f t="shared" si="163"/>
        <v>Tarifs conventionnels assurance maladie</v>
      </c>
      <c r="U949" t="str">
        <f>"750066177"</f>
        <v>750066177</v>
      </c>
    </row>
    <row r="950" spans="1:21" x14ac:dyDescent="0.3">
      <c r="A950" t="str">
        <f>"750063588"</f>
        <v>750063588</v>
      </c>
      <c r="B950" t="str">
        <f>"849 451 869 00028"</f>
        <v>849 451 869 00028</v>
      </c>
      <c r="D950" t="str">
        <f>"CDS SOMED MONTPARNASSE"</f>
        <v>CDS SOMED MONTPARNASSE</v>
      </c>
      <c r="E950" t="str">
        <f>"GARE SNCF"</f>
        <v>GARE SNCF</v>
      </c>
      <c r="F950" t="str">
        <f>"17 BOULEVARD DE VAUGIRARD"</f>
        <v>17 BOULEVARD DE VAUGIRARD</v>
      </c>
      <c r="H950" t="str">
        <f>"75015"</f>
        <v>75015</v>
      </c>
      <c r="I950" t="str">
        <f>"PARIS"</f>
        <v>PARIS</v>
      </c>
      <c r="J950" t="str">
        <f>"01 83 94 60 60 "</f>
        <v xml:space="preserve">01 83 94 60 60 </v>
      </c>
      <c r="L950" s="1">
        <v>44127</v>
      </c>
      <c r="M950" t="str">
        <f t="shared" si="154"/>
        <v>124</v>
      </c>
      <c r="N950" t="str">
        <f t="shared" si="155"/>
        <v>Centre de Santé</v>
      </c>
      <c r="O950" t="str">
        <f>"60"</f>
        <v>60</v>
      </c>
      <c r="P950" t="str">
        <f>"Association Loi 1901 non Reconnue d'Utilité Publique"</f>
        <v>Association Loi 1901 non Reconnue d'Utilité Publique</v>
      </c>
      <c r="Q950" t="str">
        <f t="shared" si="162"/>
        <v>36</v>
      </c>
      <c r="R950" t="str">
        <f t="shared" si="163"/>
        <v>Tarifs conventionnels assurance maladie</v>
      </c>
      <c r="U950" t="str">
        <f>"750063539"</f>
        <v>750063539</v>
      </c>
    </row>
    <row r="951" spans="1:21" x14ac:dyDescent="0.3">
      <c r="A951" t="str">
        <f>"470016825"</f>
        <v>470016825</v>
      </c>
      <c r="D951" t="str">
        <f>"CDS PLURICOMMUNAL LE PASSAGE"</f>
        <v>CDS PLURICOMMUNAL LE PASSAGE</v>
      </c>
      <c r="F951" t="str">
        <f>"RUE JEAN JAURES"</f>
        <v>RUE JEAN JAURES</v>
      </c>
      <c r="H951" t="str">
        <f>"47520"</f>
        <v>47520</v>
      </c>
      <c r="I951" t="str">
        <f>"LE PASSAGE"</f>
        <v>LE PASSAGE</v>
      </c>
      <c r="L951" s="1">
        <v>44126</v>
      </c>
      <c r="M951" t="str">
        <f t="shared" si="154"/>
        <v>124</v>
      </c>
      <c r="N951" t="str">
        <f t="shared" si="155"/>
        <v>Centre de Santé</v>
      </c>
      <c r="O951" t="str">
        <f>"03"</f>
        <v>03</v>
      </c>
      <c r="P951" t="str">
        <f>"Commune"</f>
        <v>Commune</v>
      </c>
      <c r="Q951" t="str">
        <f t="shared" si="162"/>
        <v>36</v>
      </c>
      <c r="R951" t="str">
        <f t="shared" si="163"/>
        <v>Tarifs conventionnels assurance maladie</v>
      </c>
      <c r="U951" t="str">
        <f>"470016817"</f>
        <v>470016817</v>
      </c>
    </row>
    <row r="952" spans="1:21" x14ac:dyDescent="0.3">
      <c r="A952" t="str">
        <f>"470016833"</f>
        <v>470016833</v>
      </c>
      <c r="D952" t="str">
        <f>"CDS PLURICOMMUNAL ESTILLAC"</f>
        <v>CDS PLURICOMMUNAL ESTILLAC</v>
      </c>
      <c r="F952" t="str">
        <f>"CHEMIN DE PEYRELONG"</f>
        <v>CHEMIN DE PEYRELONG</v>
      </c>
      <c r="H952" t="str">
        <f>"47310"</f>
        <v>47310</v>
      </c>
      <c r="I952" t="str">
        <f>"ESTILLAC"</f>
        <v>ESTILLAC</v>
      </c>
      <c r="L952" s="1">
        <v>44126</v>
      </c>
      <c r="M952" t="str">
        <f t="shared" si="154"/>
        <v>124</v>
      </c>
      <c r="N952" t="str">
        <f t="shared" si="155"/>
        <v>Centre de Santé</v>
      </c>
      <c r="O952" t="str">
        <f>"03"</f>
        <v>03</v>
      </c>
      <c r="P952" t="str">
        <f>"Commune"</f>
        <v>Commune</v>
      </c>
      <c r="Q952" t="str">
        <f t="shared" si="162"/>
        <v>36</v>
      </c>
      <c r="R952" t="str">
        <f t="shared" si="163"/>
        <v>Tarifs conventionnels assurance maladie</v>
      </c>
      <c r="U952" t="str">
        <f>"470016817"</f>
        <v>470016817</v>
      </c>
    </row>
    <row r="953" spans="1:21" x14ac:dyDescent="0.3">
      <c r="A953" t="str">
        <f>"590064838"</f>
        <v>590064838</v>
      </c>
      <c r="B953" t="str">
        <f>"885 268 573 00015"</f>
        <v>885 268 573 00015</v>
      </c>
      <c r="D953" t="str">
        <f>"CS OPHTALMOLOGIQUE VISION PLUS"</f>
        <v>CS OPHTALMOLOGIQUE VISION PLUS</v>
      </c>
      <c r="E953" t="str">
        <f>"CIAL LILLÉNIUM"</f>
        <v>CIAL LILLÉNIUM</v>
      </c>
      <c r="F953" t="str">
        <f>"RUE SIMONE"</f>
        <v>RUE SIMONE</v>
      </c>
      <c r="H953" t="str">
        <f>"59000"</f>
        <v>59000</v>
      </c>
      <c r="I953" t="str">
        <f>"LILLE"</f>
        <v>LILLE</v>
      </c>
      <c r="L953" s="1">
        <v>44126</v>
      </c>
      <c r="M953" t="str">
        <f t="shared" si="154"/>
        <v>124</v>
      </c>
      <c r="N953" t="str">
        <f t="shared" si="155"/>
        <v>Centre de Santé</v>
      </c>
      <c r="O953" t="str">
        <f>"61"</f>
        <v>61</v>
      </c>
      <c r="P953" t="str">
        <f>"Association Loi 1901 Reconnue d'Utilité Publique"</f>
        <v>Association Loi 1901 Reconnue d'Utilité Publique</v>
      </c>
      <c r="Q953" t="str">
        <f t="shared" si="162"/>
        <v>36</v>
      </c>
      <c r="R953" t="str">
        <f t="shared" si="163"/>
        <v>Tarifs conventionnels assurance maladie</v>
      </c>
      <c r="U953" t="str">
        <f>"590064820"</f>
        <v>590064820</v>
      </c>
    </row>
    <row r="954" spans="1:21" x14ac:dyDescent="0.3">
      <c r="A954" t="str">
        <f>"670020692"</f>
        <v>670020692</v>
      </c>
      <c r="B954" t="str">
        <f>"879 582 492 00010"</f>
        <v>879 582 492 00010</v>
      </c>
      <c r="D954" t="str">
        <f>"CENTRE DE SANTE DENTAIRE ELITEETH"</f>
        <v>CENTRE DE SANTE DENTAIRE ELITEETH</v>
      </c>
      <c r="E954" t="str">
        <f>"54 A"</f>
        <v>54 A</v>
      </c>
      <c r="F954" t="str">
        <f>"54 ROUTE DE BISCHWILLER"</f>
        <v>54 ROUTE DE BISCHWILLER</v>
      </c>
      <c r="H954" t="str">
        <f>"67300"</f>
        <v>67300</v>
      </c>
      <c r="I954" t="str">
        <f>"SCHILTIGHEIM"</f>
        <v>SCHILTIGHEIM</v>
      </c>
      <c r="J954" t="str">
        <f>"03 67 34 05 05 "</f>
        <v xml:space="preserve">03 67 34 05 05 </v>
      </c>
      <c r="L954" s="1">
        <v>44123</v>
      </c>
      <c r="M954" t="str">
        <f t="shared" si="154"/>
        <v>124</v>
      </c>
      <c r="N954" t="str">
        <f t="shared" si="155"/>
        <v>Centre de Santé</v>
      </c>
      <c r="O954" t="str">
        <f>"62"</f>
        <v>62</v>
      </c>
      <c r="P954" t="str">
        <f>"Association de Droit Local"</f>
        <v>Association de Droit Local</v>
      </c>
      <c r="Q954" t="str">
        <f t="shared" si="162"/>
        <v>36</v>
      </c>
      <c r="R954" t="str">
        <f t="shared" si="163"/>
        <v>Tarifs conventionnels assurance maladie</v>
      </c>
      <c r="U954" t="str">
        <f>"670020684"</f>
        <v>670020684</v>
      </c>
    </row>
    <row r="955" spans="1:21" x14ac:dyDescent="0.3">
      <c r="A955" t="str">
        <f>"850028994"</f>
        <v>850028994</v>
      </c>
      <c r="B955" t="str">
        <f>"218 502 144 00015"</f>
        <v>218 502 144 00015</v>
      </c>
      <c r="D955" t="str">
        <f>"CENTRE DE SANTE"</f>
        <v>CENTRE DE SANTE</v>
      </c>
      <c r="F955" t="str">
        <f>"69 RUE MAURICE RAIMBAUD"</f>
        <v>69 RUE MAURICE RAIMBAUD</v>
      </c>
      <c r="H955" t="str">
        <f>"85150"</f>
        <v>85150</v>
      </c>
      <c r="I955" t="str">
        <f>"STE FOY"</f>
        <v>STE FOY</v>
      </c>
      <c r="L955" s="1">
        <v>44120</v>
      </c>
      <c r="M955" t="str">
        <f t="shared" si="154"/>
        <v>124</v>
      </c>
      <c r="N955" t="str">
        <f t="shared" si="155"/>
        <v>Centre de Santé</v>
      </c>
      <c r="O955" t="str">
        <f>"03"</f>
        <v>03</v>
      </c>
      <c r="P955" t="str">
        <f>"Commune"</f>
        <v>Commune</v>
      </c>
      <c r="Q955" t="str">
        <f t="shared" si="162"/>
        <v>36</v>
      </c>
      <c r="R955" t="str">
        <f t="shared" si="163"/>
        <v>Tarifs conventionnels assurance maladie</v>
      </c>
      <c r="U955" t="str">
        <f>"850028986"</f>
        <v>850028986</v>
      </c>
    </row>
    <row r="956" spans="1:21" x14ac:dyDescent="0.3">
      <c r="A956" t="str">
        <f>"420017089"</f>
        <v>420017089</v>
      </c>
      <c r="B956" t="str">
        <f>"889 107 090 00017"</f>
        <v>889 107 090 00017</v>
      </c>
      <c r="D956" t="str">
        <f>"CENTRE DE SANTE ADN SANTE ROANNE"</f>
        <v>CENTRE DE SANTE ADN SANTE ROANNE</v>
      </c>
      <c r="F956" t="str">
        <f>"10 PLACE ARISTIDE BRIAND"</f>
        <v>10 PLACE ARISTIDE BRIAND</v>
      </c>
      <c r="H956" t="str">
        <f>"42300"</f>
        <v>42300</v>
      </c>
      <c r="I956" t="str">
        <f>"ROANNE"</f>
        <v>ROANNE</v>
      </c>
      <c r="J956" t="str">
        <f>"06 13 33 97 79 "</f>
        <v xml:space="preserve">06 13 33 97 79 </v>
      </c>
      <c r="L956" s="1">
        <v>44119</v>
      </c>
      <c r="M956" t="str">
        <f t="shared" si="154"/>
        <v>124</v>
      </c>
      <c r="N956" t="str">
        <f t="shared" si="155"/>
        <v>Centre de Santé</v>
      </c>
      <c r="O956" t="str">
        <f>"60"</f>
        <v>60</v>
      </c>
      <c r="P956" t="str">
        <f>"Association Loi 1901 non Reconnue d'Utilité Publique"</f>
        <v>Association Loi 1901 non Reconnue d'Utilité Publique</v>
      </c>
      <c r="Q956" t="str">
        <f t="shared" si="162"/>
        <v>36</v>
      </c>
      <c r="R956" t="str">
        <f t="shared" si="163"/>
        <v>Tarifs conventionnels assurance maladie</v>
      </c>
      <c r="U956" t="str">
        <f>"420017071"</f>
        <v>420017071</v>
      </c>
    </row>
    <row r="957" spans="1:21" x14ac:dyDescent="0.3">
      <c r="A957" t="str">
        <f>"250021003"</f>
        <v>250021003</v>
      </c>
      <c r="B957" t="str">
        <f>"894 720 838 00016"</f>
        <v>894 720 838 00016</v>
      </c>
      <c r="D957" t="str">
        <f>"CENTRE DE SOMMEIL RESPIR"</f>
        <v>CENTRE DE SOMMEIL RESPIR</v>
      </c>
      <c r="F957" t="str">
        <f>"9 CHEMIN DES QUATRE JOURNAUX"</f>
        <v>9 CHEMIN DES QUATRE JOURNAUX</v>
      </c>
      <c r="H957" t="str">
        <f>"25770"</f>
        <v>25770</v>
      </c>
      <c r="I957" t="str">
        <f>"FRANOIS"</f>
        <v>FRANOIS</v>
      </c>
      <c r="L957" s="1">
        <v>44117</v>
      </c>
      <c r="M957" t="str">
        <f t="shared" si="154"/>
        <v>124</v>
      </c>
      <c r="N957" t="str">
        <f t="shared" si="155"/>
        <v>Centre de Santé</v>
      </c>
      <c r="O957" t="str">
        <f>"60"</f>
        <v>60</v>
      </c>
      <c r="P957" t="str">
        <f>"Association Loi 1901 non Reconnue d'Utilité Publique"</f>
        <v>Association Loi 1901 non Reconnue d'Utilité Publique</v>
      </c>
      <c r="Q957" t="str">
        <f t="shared" si="162"/>
        <v>36</v>
      </c>
      <c r="R957" t="str">
        <f t="shared" si="163"/>
        <v>Tarifs conventionnels assurance maladie</v>
      </c>
      <c r="U957" t="str">
        <f>"250020997"</f>
        <v>250020997</v>
      </c>
    </row>
    <row r="958" spans="1:21" x14ac:dyDescent="0.3">
      <c r="A958" t="str">
        <f>"130051048"</f>
        <v>130051048</v>
      </c>
      <c r="B958" t="str">
        <f>"880 295 092 00014"</f>
        <v>880 295 092 00014</v>
      </c>
      <c r="D958" t="str">
        <f>"CENTRE DENTAIRE SAINT TRONC"</f>
        <v>CENTRE DENTAIRE SAINT TRONC</v>
      </c>
      <c r="F958" t="str">
        <f>"249 RUE PIERRE DOIZE"</f>
        <v>249 RUE PIERRE DOIZE</v>
      </c>
      <c r="H958" t="str">
        <f>"13010"</f>
        <v>13010</v>
      </c>
      <c r="I958" t="str">
        <f>"MARSEILLE"</f>
        <v>MARSEILLE</v>
      </c>
      <c r="J958" t="str">
        <f>"06 51 03 33 84 "</f>
        <v xml:space="preserve">06 51 03 33 84 </v>
      </c>
      <c r="L958" s="1">
        <v>44116</v>
      </c>
      <c r="M958" t="str">
        <f t="shared" si="154"/>
        <v>124</v>
      </c>
      <c r="N958" t="str">
        <f t="shared" si="155"/>
        <v>Centre de Santé</v>
      </c>
      <c r="O958" t="str">
        <f>"61"</f>
        <v>61</v>
      </c>
      <c r="P958" t="str">
        <f>"Association Loi 1901 Reconnue d'Utilité Publique"</f>
        <v>Association Loi 1901 Reconnue d'Utilité Publique</v>
      </c>
      <c r="Q958" t="str">
        <f t="shared" si="162"/>
        <v>36</v>
      </c>
      <c r="R958" t="str">
        <f t="shared" si="163"/>
        <v>Tarifs conventionnels assurance maladie</v>
      </c>
      <c r="U958" t="str">
        <f>"130051030"</f>
        <v>130051030</v>
      </c>
    </row>
    <row r="959" spans="1:21" x14ac:dyDescent="0.3">
      <c r="A959" t="str">
        <f>"420016826"</f>
        <v>420016826</v>
      </c>
      <c r="B959" t="str">
        <f>"879 871 093 00016"</f>
        <v>879 871 093 00016</v>
      </c>
      <c r="D959" t="str">
        <f>"CENTRE DE SANTE FRANCOISE HERITIER"</f>
        <v>CENTRE DE SANTE FRANCOISE HERITIER</v>
      </c>
      <c r="F959" t="str">
        <f>"1 RUE MOLIERE"</f>
        <v>1 RUE MOLIERE</v>
      </c>
      <c r="H959" t="str">
        <f>"42340"</f>
        <v>42340</v>
      </c>
      <c r="I959" t="str">
        <f>"VEAUCHE"</f>
        <v>VEAUCHE</v>
      </c>
      <c r="J959" t="str">
        <f>"04 77 54 77 55 "</f>
        <v xml:space="preserve">04 77 54 77 55 </v>
      </c>
      <c r="L959" s="1">
        <v>44116</v>
      </c>
      <c r="M959" t="str">
        <f t="shared" si="154"/>
        <v>124</v>
      </c>
      <c r="N959" t="str">
        <f t="shared" si="155"/>
        <v>Centre de Santé</v>
      </c>
      <c r="O959" t="str">
        <f>"60"</f>
        <v>60</v>
      </c>
      <c r="P959" t="str">
        <f>"Association Loi 1901 non Reconnue d'Utilité Publique"</f>
        <v>Association Loi 1901 non Reconnue d'Utilité Publique</v>
      </c>
      <c r="Q959" t="str">
        <f t="shared" si="162"/>
        <v>36</v>
      </c>
      <c r="R959" t="str">
        <f t="shared" si="163"/>
        <v>Tarifs conventionnels assurance maladie</v>
      </c>
      <c r="U959" t="str">
        <f>"420016818"</f>
        <v>420016818</v>
      </c>
    </row>
    <row r="960" spans="1:21" x14ac:dyDescent="0.3">
      <c r="A960" t="str">
        <f>"760038828"</f>
        <v>760038828</v>
      </c>
      <c r="B960" t="str">
        <f>"882 168 313 00022"</f>
        <v>882 168 313 00022</v>
      </c>
      <c r="D960" t="str">
        <f>"CENTRE DENTAIRE LE HAVRE GRAVILLE"</f>
        <v>CENTRE DENTAIRE LE HAVRE GRAVILLE</v>
      </c>
      <c r="F960" t="str">
        <f>"410 RUE ARISTIDE BRIAND"</f>
        <v>410 RUE ARISTIDE BRIAND</v>
      </c>
      <c r="H960" t="str">
        <f>"76620"</f>
        <v>76620</v>
      </c>
      <c r="I960" t="str">
        <f>"LE HAVRE"</f>
        <v>LE HAVRE</v>
      </c>
      <c r="J960" t="str">
        <f>"07 85 30 53 44 "</f>
        <v xml:space="preserve">07 85 30 53 44 </v>
      </c>
      <c r="L960" s="1">
        <v>44116</v>
      </c>
      <c r="M960" t="str">
        <f t="shared" si="154"/>
        <v>124</v>
      </c>
      <c r="N960" t="str">
        <f t="shared" si="155"/>
        <v>Centre de Santé</v>
      </c>
      <c r="O960" t="str">
        <f>"60"</f>
        <v>60</v>
      </c>
      <c r="P960" t="str">
        <f>"Association Loi 1901 non Reconnue d'Utilité Publique"</f>
        <v>Association Loi 1901 non Reconnue d'Utilité Publique</v>
      </c>
      <c r="Q960" t="str">
        <f t="shared" si="162"/>
        <v>36</v>
      </c>
      <c r="R960" t="str">
        <f t="shared" si="163"/>
        <v>Tarifs conventionnels assurance maladie</v>
      </c>
      <c r="U960" t="str">
        <f>"760039412"</f>
        <v>760039412</v>
      </c>
    </row>
    <row r="961" spans="1:21" x14ac:dyDescent="0.3">
      <c r="A961" t="str">
        <f>"920036712"</f>
        <v>920036712</v>
      </c>
      <c r="B961" t="str">
        <f>"882 616 220 00019"</f>
        <v>882 616 220 00019</v>
      </c>
      <c r="D961" t="str">
        <f>"CDS DENTAIRE BLR"</f>
        <v>CDS DENTAIRE BLR</v>
      </c>
      <c r="F961" t="str">
        <f>"29 AVENUE DU GENERAL LECLERC"</f>
        <v>29 AVENUE DU GENERAL LECLERC</v>
      </c>
      <c r="H961" t="str">
        <f>"92340"</f>
        <v>92340</v>
      </c>
      <c r="I961" t="str">
        <f>"BOURG LA REINE"</f>
        <v>BOURG LA REINE</v>
      </c>
      <c r="J961" t="str">
        <f>"06 21 89 38 18 "</f>
        <v xml:space="preserve">06 21 89 38 18 </v>
      </c>
      <c r="L961" s="1">
        <v>44116</v>
      </c>
      <c r="M961" t="str">
        <f t="shared" si="154"/>
        <v>124</v>
      </c>
      <c r="N961" t="str">
        <f t="shared" si="155"/>
        <v>Centre de Santé</v>
      </c>
      <c r="O961" t="str">
        <f>"60"</f>
        <v>60</v>
      </c>
      <c r="P961" t="str">
        <f>"Association Loi 1901 non Reconnue d'Utilité Publique"</f>
        <v>Association Loi 1901 non Reconnue d'Utilité Publique</v>
      </c>
      <c r="Q961" t="str">
        <f t="shared" si="162"/>
        <v>36</v>
      </c>
      <c r="R961" t="str">
        <f t="shared" si="163"/>
        <v>Tarifs conventionnels assurance maladie</v>
      </c>
      <c r="U961" t="str">
        <f>"920036704"</f>
        <v>920036704</v>
      </c>
    </row>
    <row r="962" spans="1:21" x14ac:dyDescent="0.3">
      <c r="A962" t="str">
        <f>"970115242"</f>
        <v>970115242</v>
      </c>
      <c r="B962" t="str">
        <f>"879 831 212 00011"</f>
        <v>879 831 212 00011</v>
      </c>
      <c r="D962" t="str">
        <f>"ALLO MEDICAL CARAIBES"</f>
        <v>ALLO MEDICAL CARAIBES</v>
      </c>
      <c r="F962" t="str">
        <f>"168 RUE DE L'EXOCENT"</f>
        <v>168 RUE DE L'EXOCENT</v>
      </c>
      <c r="H962" t="str">
        <f>"97180"</f>
        <v>97180</v>
      </c>
      <c r="I962" t="str">
        <f>"STE ANNE"</f>
        <v>STE ANNE</v>
      </c>
      <c r="J962" t="str">
        <f>"05 90 44 60 00 "</f>
        <v xml:space="preserve">05 90 44 60 00 </v>
      </c>
      <c r="L962" s="1">
        <v>44116</v>
      </c>
      <c r="M962" t="str">
        <f t="shared" ref="M962:M1025" si="164">"124"</f>
        <v>124</v>
      </c>
      <c r="N962" t="str">
        <f t="shared" ref="N962:N1025" si="165">"Centre de Santé"</f>
        <v>Centre de Santé</v>
      </c>
      <c r="O962" t="str">
        <f>"95"</f>
        <v>95</v>
      </c>
      <c r="P962" t="str">
        <f>"Société par Actions Simplifiée (S.A.S.)"</f>
        <v>Société par Actions Simplifiée (S.A.S.)</v>
      </c>
      <c r="Q962" t="str">
        <f t="shared" si="162"/>
        <v>36</v>
      </c>
      <c r="R962" t="str">
        <f t="shared" si="163"/>
        <v>Tarifs conventionnels assurance maladie</v>
      </c>
      <c r="U962" t="str">
        <f>"970115234"</f>
        <v>970115234</v>
      </c>
    </row>
    <row r="963" spans="1:21" x14ac:dyDescent="0.3">
      <c r="A963" t="str">
        <f>"350054730"</f>
        <v>350054730</v>
      </c>
      <c r="D963" t="str">
        <f>"CDS POLYVALENT J LE BRIS"</f>
        <v>CDS POLYVALENT J LE BRIS</v>
      </c>
      <c r="F963" t="str">
        <f>"2 RUE DU HERON"</f>
        <v>2 RUE DU HERON</v>
      </c>
      <c r="H963" t="str">
        <f>"35120"</f>
        <v>35120</v>
      </c>
      <c r="I963" t="str">
        <f>"BAGUER MORVAN"</f>
        <v>BAGUER MORVAN</v>
      </c>
      <c r="L963" s="1">
        <v>44112</v>
      </c>
      <c r="M963" t="str">
        <f t="shared" si="164"/>
        <v>124</v>
      </c>
      <c r="N963" t="str">
        <f t="shared" si="165"/>
        <v>Centre de Santé</v>
      </c>
      <c r="O963" t="str">
        <f>"61"</f>
        <v>61</v>
      </c>
      <c r="P963" t="str">
        <f>"Association Loi 1901 Reconnue d'Utilité Publique"</f>
        <v>Association Loi 1901 Reconnue d'Utilité Publique</v>
      </c>
      <c r="Q963" t="str">
        <f t="shared" ref="Q963:Q989" si="166">"36"</f>
        <v>36</v>
      </c>
      <c r="R963" t="str">
        <f t="shared" ref="R963:R989" si="167">"Tarifs conventionnels assurance maladie"</f>
        <v>Tarifs conventionnels assurance maladie</v>
      </c>
      <c r="U963" t="str">
        <f>"350000642"</f>
        <v>350000642</v>
      </c>
    </row>
    <row r="964" spans="1:21" x14ac:dyDescent="0.3">
      <c r="A964" t="str">
        <f>"060030145"</f>
        <v>060030145</v>
      </c>
      <c r="B964" t="str">
        <f>"822 784 187 00020"</f>
        <v>822 784 187 00020</v>
      </c>
      <c r="D964" t="str">
        <f>"CDS POLYVALENT CANNES BEACH"</f>
        <v>CDS POLYVALENT CANNES BEACH</v>
      </c>
      <c r="F964" t="str">
        <f>"17 RUE MARCO-DEL-PONTE"</f>
        <v>17 RUE MARCO-DEL-PONTE</v>
      </c>
      <c r="H964" t="str">
        <f>"06150"</f>
        <v>06150</v>
      </c>
      <c r="I964" t="str">
        <f>"CANNES"</f>
        <v>CANNES</v>
      </c>
      <c r="J964" t="str">
        <f>"06 23 82 61 54 "</f>
        <v xml:space="preserve">06 23 82 61 54 </v>
      </c>
      <c r="L964" s="1">
        <v>44109</v>
      </c>
      <c r="M964" t="str">
        <f t="shared" si="164"/>
        <v>124</v>
      </c>
      <c r="N964" t="str">
        <f t="shared" si="165"/>
        <v>Centre de Santé</v>
      </c>
      <c r="O964" t="str">
        <f>"61"</f>
        <v>61</v>
      </c>
      <c r="P964" t="str">
        <f>"Association Loi 1901 Reconnue d'Utilité Publique"</f>
        <v>Association Loi 1901 Reconnue d'Utilité Publique</v>
      </c>
      <c r="Q964" t="str">
        <f t="shared" si="166"/>
        <v>36</v>
      </c>
      <c r="R964" t="str">
        <f t="shared" si="167"/>
        <v>Tarifs conventionnels assurance maladie</v>
      </c>
      <c r="U964" t="str">
        <f>"060030137"</f>
        <v>060030137</v>
      </c>
    </row>
    <row r="965" spans="1:21" x14ac:dyDescent="0.3">
      <c r="A965" t="str">
        <f>"170026066"</f>
        <v>170026066</v>
      </c>
      <c r="B965" t="str">
        <f>"781 343 405 00044"</f>
        <v>781 343 405 00044</v>
      </c>
      <c r="D965" t="str">
        <f>"CENTRE DE SOINS INFIRMIERS DE LAGORD"</f>
        <v>CENTRE DE SOINS INFIRMIERS DE LAGORD</v>
      </c>
      <c r="F965" t="str">
        <f>"5 RUE DU BOIS D'HURE"</f>
        <v>5 RUE DU BOIS D'HURE</v>
      </c>
      <c r="H965" t="str">
        <f>"17140"</f>
        <v>17140</v>
      </c>
      <c r="I965" t="str">
        <f>"LAGORD"</f>
        <v>LAGORD</v>
      </c>
      <c r="J965" t="str">
        <f>"05 46 28 37 03 "</f>
        <v xml:space="preserve">05 46 28 37 03 </v>
      </c>
      <c r="L965" s="1">
        <v>44109</v>
      </c>
      <c r="M965" t="str">
        <f t="shared" si="164"/>
        <v>124</v>
      </c>
      <c r="N965" t="str">
        <f t="shared" si="165"/>
        <v>Centre de Santé</v>
      </c>
      <c r="O965" t="str">
        <f>"61"</f>
        <v>61</v>
      </c>
      <c r="P965" t="str">
        <f>"Association Loi 1901 Reconnue d'Utilité Publique"</f>
        <v>Association Loi 1901 Reconnue d'Utilité Publique</v>
      </c>
      <c r="Q965" t="str">
        <f t="shared" si="166"/>
        <v>36</v>
      </c>
      <c r="R965" t="str">
        <f t="shared" si="167"/>
        <v>Tarifs conventionnels assurance maladie</v>
      </c>
      <c r="U965" t="str">
        <f>"170792402"</f>
        <v>170792402</v>
      </c>
    </row>
    <row r="966" spans="1:21" x14ac:dyDescent="0.3">
      <c r="A966" t="str">
        <f>"440056836"</f>
        <v>440056836</v>
      </c>
      <c r="D966" t="str">
        <f>"CENTRE MUNICIPAL DE SANTE"</f>
        <v>CENTRE MUNICIPAL DE SANTE</v>
      </c>
      <c r="F966" t="str">
        <f>"40 AVENUE DU PRESIDENT ROOSEVELT"</f>
        <v>40 AVENUE DU PRESIDENT ROOSEVELT</v>
      </c>
      <c r="H966" t="str">
        <f>"44250"</f>
        <v>44250</v>
      </c>
      <c r="I966" t="str">
        <f>"ST BREVIN LES PINS"</f>
        <v>ST BREVIN LES PINS</v>
      </c>
      <c r="L966" s="1">
        <v>44109</v>
      </c>
      <c r="M966" t="str">
        <f t="shared" si="164"/>
        <v>124</v>
      </c>
      <c r="N966" t="str">
        <f t="shared" si="165"/>
        <v>Centre de Santé</v>
      </c>
      <c r="O966" t="str">
        <f>"03"</f>
        <v>03</v>
      </c>
      <c r="P966" t="str">
        <f>"Commune"</f>
        <v>Commune</v>
      </c>
      <c r="Q966" t="str">
        <f t="shared" si="166"/>
        <v>36</v>
      </c>
      <c r="R966" t="str">
        <f t="shared" si="167"/>
        <v>Tarifs conventionnels assurance maladie</v>
      </c>
      <c r="U966" t="str">
        <f>"440056828"</f>
        <v>440056828</v>
      </c>
    </row>
    <row r="967" spans="1:21" x14ac:dyDescent="0.3">
      <c r="A967" t="str">
        <f>"610009086"</f>
        <v>610009086</v>
      </c>
      <c r="B967" t="str">
        <f>"884 686 395 00010"</f>
        <v>884 686 395 00010</v>
      </c>
      <c r="D967" t="str">
        <f>"CENTRE DE SANTÉ MÉDICOBUS"</f>
        <v>CENTRE DE SANTÉ MÉDICOBUS</v>
      </c>
      <c r="F967" t="str">
        <f>"23 RUE FERDINAND DE BOYERES"</f>
        <v>23 RUE FERDINAND DE BOYERES</v>
      </c>
      <c r="H967" t="str">
        <f>"61400"</f>
        <v>61400</v>
      </c>
      <c r="I967" t="str">
        <f>"MORTAGNE AU PERCHE"</f>
        <v>MORTAGNE AU PERCHE</v>
      </c>
      <c r="L967" s="1">
        <v>44109</v>
      </c>
      <c r="M967" t="str">
        <f t="shared" si="164"/>
        <v>124</v>
      </c>
      <c r="N967" t="str">
        <f t="shared" si="165"/>
        <v>Centre de Santé</v>
      </c>
      <c r="O967" t="str">
        <f>"60"</f>
        <v>60</v>
      </c>
      <c r="P967" t="str">
        <f>"Association Loi 1901 non Reconnue d'Utilité Publique"</f>
        <v>Association Loi 1901 non Reconnue d'Utilité Publique</v>
      </c>
      <c r="Q967" t="str">
        <f t="shared" si="166"/>
        <v>36</v>
      </c>
      <c r="R967" t="str">
        <f t="shared" si="167"/>
        <v>Tarifs conventionnels assurance maladie</v>
      </c>
      <c r="U967" t="str">
        <f>"610009078"</f>
        <v>610009078</v>
      </c>
    </row>
    <row r="968" spans="1:21" x14ac:dyDescent="0.3">
      <c r="A968" t="str">
        <f>"760038885"</f>
        <v>760038885</v>
      </c>
      <c r="B968" t="str">
        <f>"879 398 279 00023"</f>
        <v>879 398 279 00023</v>
      </c>
      <c r="D968" t="str">
        <f>"CENTRE DENTAIRE ROUEN SAINT SEVER"</f>
        <v>CENTRE DENTAIRE ROUEN SAINT SEVER</v>
      </c>
      <c r="E968" t="str">
        <f>"CENTRE COMMERCIAL SAINT SEVER"</f>
        <v>CENTRE COMMERCIAL SAINT SEVER</v>
      </c>
      <c r="F968" t="str">
        <f>"RUE DE BRETAGNE"</f>
        <v>RUE DE BRETAGNE</v>
      </c>
      <c r="H968" t="str">
        <f>"76100"</f>
        <v>76100</v>
      </c>
      <c r="I968" t="str">
        <f>"ROUEN"</f>
        <v>ROUEN</v>
      </c>
      <c r="J968" t="str">
        <f>"07 85 30 53 44 "</f>
        <v xml:space="preserve">07 85 30 53 44 </v>
      </c>
      <c r="L968" s="1">
        <v>44109</v>
      </c>
      <c r="M968" t="str">
        <f t="shared" si="164"/>
        <v>124</v>
      </c>
      <c r="N968" t="str">
        <f t="shared" si="165"/>
        <v>Centre de Santé</v>
      </c>
      <c r="O968" t="str">
        <f>"60"</f>
        <v>60</v>
      </c>
      <c r="P968" t="str">
        <f>"Association Loi 1901 non Reconnue d'Utilité Publique"</f>
        <v>Association Loi 1901 non Reconnue d'Utilité Publique</v>
      </c>
      <c r="Q968" t="str">
        <f t="shared" si="166"/>
        <v>36</v>
      </c>
      <c r="R968" t="str">
        <f t="shared" si="167"/>
        <v>Tarifs conventionnels assurance maladie</v>
      </c>
      <c r="U968" t="str">
        <f>"760039032"</f>
        <v>760039032</v>
      </c>
    </row>
    <row r="969" spans="1:21" x14ac:dyDescent="0.3">
      <c r="A969" t="str">
        <f>"650006604"</f>
        <v>650006604</v>
      </c>
      <c r="B969" t="str">
        <f>"216 504 407 00018"</f>
        <v>216 504 407 00018</v>
      </c>
      <c r="D969" t="str">
        <f>"CDS MUNICIPAL LOUIS LARENG"</f>
        <v>CDS MUNICIPAL LOUIS LARENG</v>
      </c>
      <c r="F969" t="str">
        <f>"45 PLACE DU FOIRAIL"</f>
        <v>45 PLACE DU FOIRAIL</v>
      </c>
      <c r="H969" t="str">
        <f>"65000"</f>
        <v>65000</v>
      </c>
      <c r="I969" t="str">
        <f>"TARBES"</f>
        <v>TARBES</v>
      </c>
      <c r="L969" s="1">
        <v>44105</v>
      </c>
      <c r="M969" t="str">
        <f t="shared" si="164"/>
        <v>124</v>
      </c>
      <c r="N969" t="str">
        <f t="shared" si="165"/>
        <v>Centre de Santé</v>
      </c>
      <c r="O969" t="str">
        <f>"03"</f>
        <v>03</v>
      </c>
      <c r="P969" t="str">
        <f>"Commune"</f>
        <v>Commune</v>
      </c>
      <c r="Q969" t="str">
        <f t="shared" si="166"/>
        <v>36</v>
      </c>
      <c r="R969" t="str">
        <f t="shared" si="167"/>
        <v>Tarifs conventionnels assurance maladie</v>
      </c>
      <c r="U969" t="str">
        <f>"650006596"</f>
        <v>650006596</v>
      </c>
    </row>
    <row r="970" spans="1:21" x14ac:dyDescent="0.3">
      <c r="A970" t="str">
        <f>"910024967"</f>
        <v>910024967</v>
      </c>
      <c r="B970" t="str">
        <f>"881 899 926 00011"</f>
        <v>881 899 926 00011</v>
      </c>
      <c r="D970" t="str">
        <f>"CDS DENTAIRE MASSY TUILERIE"</f>
        <v>CDS DENTAIRE MASSY TUILERIE</v>
      </c>
      <c r="F970" t="str">
        <f>"1 RUE LOUIS ANTOINE BOUGAINVILLE"</f>
        <v>1 RUE LOUIS ANTOINE BOUGAINVILLE</v>
      </c>
      <c r="H970" t="str">
        <f>"91300"</f>
        <v>91300</v>
      </c>
      <c r="I970" t="str">
        <f>"MASSY"</f>
        <v>MASSY</v>
      </c>
      <c r="J970" t="str">
        <f>"07 69 96 27 23 "</f>
        <v xml:space="preserve">07 69 96 27 23 </v>
      </c>
      <c r="L970" s="1">
        <v>44105</v>
      </c>
      <c r="M970" t="str">
        <f t="shared" si="164"/>
        <v>124</v>
      </c>
      <c r="N970" t="str">
        <f t="shared" si="165"/>
        <v>Centre de Santé</v>
      </c>
      <c r="O970" t="str">
        <f>"60"</f>
        <v>60</v>
      </c>
      <c r="P970" t="str">
        <f>"Association Loi 1901 non Reconnue d'Utilité Publique"</f>
        <v>Association Loi 1901 non Reconnue d'Utilité Publique</v>
      </c>
      <c r="Q970" t="str">
        <f t="shared" si="166"/>
        <v>36</v>
      </c>
      <c r="R970" t="str">
        <f t="shared" si="167"/>
        <v>Tarifs conventionnels assurance maladie</v>
      </c>
      <c r="U970" t="str">
        <f>"910024959"</f>
        <v>910024959</v>
      </c>
    </row>
    <row r="971" spans="1:21" x14ac:dyDescent="0.3">
      <c r="A971" t="str">
        <f>"850028978"</f>
        <v>850028978</v>
      </c>
      <c r="B971" t="str">
        <f>"218 500 965 00015"</f>
        <v>218 500 965 00015</v>
      </c>
      <c r="D971" t="str">
        <f>"CENTRE MUNICIPAL LOCAL DE SANTE"</f>
        <v>CENTRE MUNICIPAL LOCAL DE SANTE</v>
      </c>
      <c r="F971" t="str">
        <f>"2 RUE DE NANTES"</f>
        <v>2 RUE DE NANTES</v>
      </c>
      <c r="H971" t="str">
        <f>"85710"</f>
        <v>85710</v>
      </c>
      <c r="I971" t="str">
        <f>"LA GARNACHE"</f>
        <v>LA GARNACHE</v>
      </c>
      <c r="L971" s="1">
        <v>44102</v>
      </c>
      <c r="M971" t="str">
        <f t="shared" si="164"/>
        <v>124</v>
      </c>
      <c r="N971" t="str">
        <f t="shared" si="165"/>
        <v>Centre de Santé</v>
      </c>
      <c r="O971" t="str">
        <f>"06"</f>
        <v>06</v>
      </c>
      <c r="P971" t="str">
        <f>"Autre Collectivité Territoriale"</f>
        <v>Autre Collectivité Territoriale</v>
      </c>
      <c r="Q971" t="str">
        <f t="shared" si="166"/>
        <v>36</v>
      </c>
      <c r="R971" t="str">
        <f t="shared" si="167"/>
        <v>Tarifs conventionnels assurance maladie</v>
      </c>
      <c r="U971" t="str">
        <f>"850028960"</f>
        <v>850028960</v>
      </c>
    </row>
    <row r="972" spans="1:21" x14ac:dyDescent="0.3">
      <c r="A972" t="str">
        <f>"900004383"</f>
        <v>900004383</v>
      </c>
      <c r="B972" t="str">
        <f>"885 248 203 00014"</f>
        <v>885 248 203 00014</v>
      </c>
      <c r="D972" t="str">
        <f>"CENTRE DENTAIRE SOINS ET PREVENTION"</f>
        <v>CENTRE DENTAIRE SOINS ET PREVENTION</v>
      </c>
      <c r="E972" t="str">
        <f>"TECHN HOM 3"</f>
        <v>TECHN HOM 3</v>
      </c>
      <c r="F972" t="str">
        <f>"2 RUE MAURICE ET LOUIS DE BROGLIE"</f>
        <v>2 RUE MAURICE ET LOUIS DE BROGLIE</v>
      </c>
      <c r="H972" t="str">
        <f>"90000"</f>
        <v>90000</v>
      </c>
      <c r="I972" t="str">
        <f>"BELFORT"</f>
        <v>BELFORT</v>
      </c>
      <c r="L972" s="1">
        <v>44099</v>
      </c>
      <c r="M972" t="str">
        <f t="shared" si="164"/>
        <v>124</v>
      </c>
      <c r="N972" t="str">
        <f t="shared" si="165"/>
        <v>Centre de Santé</v>
      </c>
      <c r="O972" t="str">
        <f>"60"</f>
        <v>60</v>
      </c>
      <c r="P972" t="str">
        <f>"Association Loi 1901 non Reconnue d'Utilité Publique"</f>
        <v>Association Loi 1901 non Reconnue d'Utilité Publique</v>
      </c>
      <c r="Q972" t="str">
        <f t="shared" si="166"/>
        <v>36</v>
      </c>
      <c r="R972" t="str">
        <f t="shared" si="167"/>
        <v>Tarifs conventionnels assurance maladie</v>
      </c>
      <c r="U972" t="str">
        <f>"900004359"</f>
        <v>900004359</v>
      </c>
    </row>
    <row r="973" spans="1:21" x14ac:dyDescent="0.3">
      <c r="A973" t="str">
        <f>"940026693"</f>
        <v>940026693</v>
      </c>
      <c r="B973" t="str">
        <f>"882 266 380 00014"</f>
        <v>882 266 380 00014</v>
      </c>
      <c r="D973" t="str">
        <f>"CDS DENTAIRE DE BONNEUIL"</f>
        <v>CDS DENTAIRE DE BONNEUIL</v>
      </c>
      <c r="F973" t="str">
        <f>"13 AVENUE DE BOISSY"</f>
        <v>13 AVENUE DE BOISSY</v>
      </c>
      <c r="H973" t="str">
        <f>"94380"</f>
        <v>94380</v>
      </c>
      <c r="I973" t="str">
        <f>"BONNEUIL SUR MARNE"</f>
        <v>BONNEUIL SUR MARNE</v>
      </c>
      <c r="J973" t="str">
        <f>"01 76 21 76 76 "</f>
        <v xml:space="preserve">01 76 21 76 76 </v>
      </c>
      <c r="L973" s="1">
        <v>44098</v>
      </c>
      <c r="M973" t="str">
        <f t="shared" si="164"/>
        <v>124</v>
      </c>
      <c r="N973" t="str">
        <f t="shared" si="165"/>
        <v>Centre de Santé</v>
      </c>
      <c r="O973" t="str">
        <f>"60"</f>
        <v>60</v>
      </c>
      <c r="P973" t="str">
        <f>"Association Loi 1901 non Reconnue d'Utilité Publique"</f>
        <v>Association Loi 1901 non Reconnue d'Utilité Publique</v>
      </c>
      <c r="Q973" t="str">
        <f t="shared" si="166"/>
        <v>36</v>
      </c>
      <c r="R973" t="str">
        <f t="shared" si="167"/>
        <v>Tarifs conventionnels assurance maladie</v>
      </c>
      <c r="U973" t="str">
        <f>"940026685"</f>
        <v>940026685</v>
      </c>
    </row>
    <row r="974" spans="1:21" x14ac:dyDescent="0.3">
      <c r="A974" t="str">
        <f>"820010262"</f>
        <v>820010262</v>
      </c>
      <c r="B974" t="str">
        <f>"839 538 733 00032"</f>
        <v>839 538 733 00032</v>
      </c>
      <c r="D974" t="str">
        <f>"CENTRE DE SANTE ADMR DE MOLIERES"</f>
        <v>CENTRE DE SANTE ADMR DE MOLIERES</v>
      </c>
      <c r="F974" t="str">
        <f>"55 AVENUE DES PROMENADES"</f>
        <v>55 AVENUE DES PROMENADES</v>
      </c>
      <c r="H974" t="str">
        <f>"82220"</f>
        <v>82220</v>
      </c>
      <c r="I974" t="str">
        <f>"MOLIERES"</f>
        <v>MOLIERES</v>
      </c>
      <c r="J974" t="str">
        <f>"05 63 67 70 14 "</f>
        <v xml:space="preserve">05 63 67 70 14 </v>
      </c>
      <c r="L974" s="1">
        <v>44088</v>
      </c>
      <c r="M974" t="str">
        <f t="shared" si="164"/>
        <v>124</v>
      </c>
      <c r="N974" t="str">
        <f t="shared" si="165"/>
        <v>Centre de Santé</v>
      </c>
      <c r="O974" t="str">
        <f>"60"</f>
        <v>60</v>
      </c>
      <c r="P974" t="str">
        <f>"Association Loi 1901 non Reconnue d'Utilité Publique"</f>
        <v>Association Loi 1901 non Reconnue d'Utilité Publique</v>
      </c>
      <c r="Q974" t="str">
        <f t="shared" si="166"/>
        <v>36</v>
      </c>
      <c r="R974" t="str">
        <f t="shared" si="167"/>
        <v>Tarifs conventionnels assurance maladie</v>
      </c>
      <c r="U974" t="str">
        <f>"820009991"</f>
        <v>820009991</v>
      </c>
    </row>
    <row r="975" spans="1:21" x14ac:dyDescent="0.3">
      <c r="A975" t="str">
        <f>"590064374"</f>
        <v>590064374</v>
      </c>
      <c r="B975" t="str">
        <f>"215 901 364 00244"</f>
        <v>215 901 364 00244</v>
      </c>
      <c r="D975" t="str">
        <f>"CSMC LE CATEAU CAMBRÉSIS"</f>
        <v>CSMC LE CATEAU CAMBRÉSIS</v>
      </c>
      <c r="F975" t="str">
        <f>"11 RUE DU MARCHÉ AUX CHEVAUX"</f>
        <v>11 RUE DU MARCHÉ AUX CHEVAUX</v>
      </c>
      <c r="H975" t="str">
        <f>"59360"</f>
        <v>59360</v>
      </c>
      <c r="I975" t="str">
        <f>"LE CATEAU CAMBRESIS"</f>
        <v>LE CATEAU CAMBRESIS</v>
      </c>
      <c r="L975" s="1">
        <v>44083</v>
      </c>
      <c r="M975" t="str">
        <f t="shared" si="164"/>
        <v>124</v>
      </c>
      <c r="N975" t="str">
        <f t="shared" si="165"/>
        <v>Centre de Santé</v>
      </c>
      <c r="O975" t="str">
        <f>"61"</f>
        <v>61</v>
      </c>
      <c r="P975" t="str">
        <f>"Association Loi 1901 Reconnue d'Utilité Publique"</f>
        <v>Association Loi 1901 Reconnue d'Utilité Publique</v>
      </c>
      <c r="Q975" t="str">
        <f t="shared" si="166"/>
        <v>36</v>
      </c>
      <c r="R975" t="str">
        <f t="shared" si="167"/>
        <v>Tarifs conventionnels assurance maladie</v>
      </c>
      <c r="U975" t="str">
        <f>"590064366"</f>
        <v>590064366</v>
      </c>
    </row>
    <row r="976" spans="1:21" x14ac:dyDescent="0.3">
      <c r="A976" t="str">
        <f>"770023315"</f>
        <v>770023315</v>
      </c>
      <c r="B976" t="str">
        <f>"851 315 762 00027"</f>
        <v>851 315 762 00027</v>
      </c>
      <c r="D976" t="str">
        <f>"CDS SOMED CLAYE-SOUILLY"</f>
        <v>CDS SOMED CLAYE-SOUILLY</v>
      </c>
      <c r="E976" t="str">
        <f>"LES SENTIERS"</f>
        <v>LES SENTIERS</v>
      </c>
      <c r="F976" t="str">
        <f>"RN 3"</f>
        <v>RN 3</v>
      </c>
      <c r="H976" t="str">
        <f>"77410"</f>
        <v>77410</v>
      </c>
      <c r="I976" t="str">
        <f>"CLAYE SOUILLY"</f>
        <v>CLAYE SOUILLY</v>
      </c>
      <c r="J976" t="str">
        <f>"01 72 62 42 42 "</f>
        <v xml:space="preserve">01 72 62 42 42 </v>
      </c>
      <c r="L976" s="1">
        <v>44083</v>
      </c>
      <c r="M976" t="str">
        <f t="shared" si="164"/>
        <v>124</v>
      </c>
      <c r="N976" t="str">
        <f t="shared" si="165"/>
        <v>Centre de Santé</v>
      </c>
      <c r="O976" t="str">
        <f>"60"</f>
        <v>60</v>
      </c>
      <c r="P976" t="str">
        <f>"Association Loi 1901 non Reconnue d'Utilité Publique"</f>
        <v>Association Loi 1901 non Reconnue d'Utilité Publique</v>
      </c>
      <c r="Q976" t="str">
        <f t="shared" si="166"/>
        <v>36</v>
      </c>
      <c r="R976" t="str">
        <f t="shared" si="167"/>
        <v>Tarifs conventionnels assurance maladie</v>
      </c>
      <c r="U976" t="str">
        <f>"770023646"</f>
        <v>770023646</v>
      </c>
    </row>
    <row r="977" spans="1:21" x14ac:dyDescent="0.3">
      <c r="A977" t="str">
        <f>"590064325"</f>
        <v>590064325</v>
      </c>
      <c r="B977" t="str">
        <f>"884 931 288 00010"</f>
        <v>884 931 288 00010</v>
      </c>
      <c r="D977" t="str">
        <f>"CSI VALENCIENNES"</f>
        <v>CSI VALENCIENNES</v>
      </c>
      <c r="F977" t="str">
        <f>"8 RUE DE L'HÔPITAL DE SIÈGE"</f>
        <v>8 RUE DE L'HÔPITAL DE SIÈGE</v>
      </c>
      <c r="H977" t="str">
        <f>"59300"</f>
        <v>59300</v>
      </c>
      <c r="I977" t="str">
        <f>"VALENCIENNES"</f>
        <v>VALENCIENNES</v>
      </c>
      <c r="L977" s="1">
        <v>44082</v>
      </c>
      <c r="M977" t="str">
        <f t="shared" si="164"/>
        <v>124</v>
      </c>
      <c r="N977" t="str">
        <f t="shared" si="165"/>
        <v>Centre de Santé</v>
      </c>
      <c r="O977" t="str">
        <f>"61"</f>
        <v>61</v>
      </c>
      <c r="P977" t="str">
        <f>"Association Loi 1901 Reconnue d'Utilité Publique"</f>
        <v>Association Loi 1901 Reconnue d'Utilité Publique</v>
      </c>
      <c r="Q977" t="str">
        <f t="shared" si="166"/>
        <v>36</v>
      </c>
      <c r="R977" t="str">
        <f t="shared" si="167"/>
        <v>Tarifs conventionnels assurance maladie</v>
      </c>
      <c r="U977" t="str">
        <f>"590064317"</f>
        <v>590064317</v>
      </c>
    </row>
    <row r="978" spans="1:21" x14ac:dyDescent="0.3">
      <c r="A978" t="str">
        <f>"690048673"</f>
        <v>690048673</v>
      </c>
      <c r="B978" t="str">
        <f>"825 372 063 00057"</f>
        <v>825 372 063 00057</v>
      </c>
      <c r="D978" t="str">
        <f>"CENTRE DE SANTE DENTAIRE DES 2 VALLEES"</f>
        <v>CENTRE DE SANTE DENTAIRE DES 2 VALLEES</v>
      </c>
      <c r="F978" t="str">
        <f>"6 RUE BONNEFOND"</f>
        <v>6 RUE BONNEFOND</v>
      </c>
      <c r="H978" t="str">
        <f>"69700"</f>
        <v>69700</v>
      </c>
      <c r="I978" t="str">
        <f>"GIVORS"</f>
        <v>GIVORS</v>
      </c>
      <c r="L978" s="1">
        <v>44082</v>
      </c>
      <c r="M978" t="str">
        <f t="shared" si="164"/>
        <v>124</v>
      </c>
      <c r="N978" t="str">
        <f t="shared" si="165"/>
        <v>Centre de Santé</v>
      </c>
      <c r="O978" t="str">
        <f>"60"</f>
        <v>60</v>
      </c>
      <c r="P978" t="str">
        <f>"Association Loi 1901 non Reconnue d'Utilité Publique"</f>
        <v>Association Loi 1901 non Reconnue d'Utilité Publique</v>
      </c>
      <c r="Q978" t="str">
        <f t="shared" si="166"/>
        <v>36</v>
      </c>
      <c r="R978" t="str">
        <f t="shared" si="167"/>
        <v>Tarifs conventionnels assurance maladie</v>
      </c>
      <c r="U978" t="str">
        <f>"420016560"</f>
        <v>420016560</v>
      </c>
    </row>
    <row r="979" spans="1:21" x14ac:dyDescent="0.3">
      <c r="A979" t="str">
        <f>"130050560"</f>
        <v>130050560</v>
      </c>
      <c r="B979" t="str">
        <f>"850 294 026 00024"</f>
        <v>850 294 026 00024</v>
      </c>
      <c r="D979" t="str">
        <f>"CDS SOMED MARSEILLE"</f>
        <v>CDS SOMED MARSEILLE</v>
      </c>
      <c r="F979" t="str">
        <f>"17 COUR BELSUNCE"</f>
        <v>17 COUR BELSUNCE</v>
      </c>
      <c r="H979" t="str">
        <f>"13001"</f>
        <v>13001</v>
      </c>
      <c r="I979" t="str">
        <f>"MARSEILLE"</f>
        <v>MARSEILLE</v>
      </c>
      <c r="L979" s="1">
        <v>44081</v>
      </c>
      <c r="M979" t="str">
        <f t="shared" si="164"/>
        <v>124</v>
      </c>
      <c r="N979" t="str">
        <f t="shared" si="165"/>
        <v>Centre de Santé</v>
      </c>
      <c r="O979" t="str">
        <f>"61"</f>
        <v>61</v>
      </c>
      <c r="P979" t="str">
        <f>"Association Loi 1901 Reconnue d'Utilité Publique"</f>
        <v>Association Loi 1901 Reconnue d'Utilité Publique</v>
      </c>
      <c r="Q979" t="str">
        <f t="shared" si="166"/>
        <v>36</v>
      </c>
      <c r="R979" t="str">
        <f t="shared" si="167"/>
        <v>Tarifs conventionnels assurance maladie</v>
      </c>
      <c r="U979" t="str">
        <f>"830025235"</f>
        <v>830025235</v>
      </c>
    </row>
    <row r="980" spans="1:21" x14ac:dyDescent="0.3">
      <c r="A980" t="str">
        <f>"800020737"</f>
        <v>800020737</v>
      </c>
      <c r="B980" t="str">
        <f>"885 225 227 00010"</f>
        <v>885 225 227 00010</v>
      </c>
      <c r="D980" t="str">
        <f>"CSI AMIENS"</f>
        <v>CSI AMIENS</v>
      </c>
      <c r="F980" t="str">
        <f>"10 ALLEE DES TENNIS"</f>
        <v>10 ALLEE DES TENNIS</v>
      </c>
      <c r="H980" t="str">
        <f>"80000"</f>
        <v>80000</v>
      </c>
      <c r="I980" t="str">
        <f>"AMIENS"</f>
        <v>AMIENS</v>
      </c>
      <c r="J980" t="str">
        <f>"06 35 35 89 74 "</f>
        <v xml:space="preserve">06 35 35 89 74 </v>
      </c>
      <c r="L980" s="1">
        <v>44081</v>
      </c>
      <c r="M980" t="str">
        <f t="shared" si="164"/>
        <v>124</v>
      </c>
      <c r="N980" t="str">
        <f t="shared" si="165"/>
        <v>Centre de Santé</v>
      </c>
      <c r="O980" t="str">
        <f>"61"</f>
        <v>61</v>
      </c>
      <c r="P980" t="str">
        <f>"Association Loi 1901 Reconnue d'Utilité Publique"</f>
        <v>Association Loi 1901 Reconnue d'Utilité Publique</v>
      </c>
      <c r="Q980" t="str">
        <f t="shared" si="166"/>
        <v>36</v>
      </c>
      <c r="R980" t="str">
        <f t="shared" si="167"/>
        <v>Tarifs conventionnels assurance maladie</v>
      </c>
      <c r="U980" t="str">
        <f>"800020729"</f>
        <v>800020729</v>
      </c>
    </row>
    <row r="981" spans="1:21" x14ac:dyDescent="0.3">
      <c r="A981" t="str">
        <f>"910025014"</f>
        <v>910025014</v>
      </c>
      <c r="B981" t="str">
        <f>"882 170 467 00014"</f>
        <v>882 170 467 00014</v>
      </c>
      <c r="D981" t="str">
        <f>"CDS OPHTALYS HOTEL DE VILLE"</f>
        <v>CDS OPHTALYS HOTEL DE VILLE</v>
      </c>
      <c r="F981" t="str">
        <f>"7 RUE CLAUDE DEBUSSY"</f>
        <v>7 RUE CLAUDE DEBUSSY</v>
      </c>
      <c r="H981" t="str">
        <f>"91600"</f>
        <v>91600</v>
      </c>
      <c r="I981" t="str">
        <f>"SAVIGNY SUR ORGE"</f>
        <v>SAVIGNY SUR ORGE</v>
      </c>
      <c r="J981" t="str">
        <f>"01 69 03 41 75 "</f>
        <v xml:space="preserve">01 69 03 41 75 </v>
      </c>
      <c r="L981" s="1">
        <v>44081</v>
      </c>
      <c r="M981" t="str">
        <f t="shared" si="164"/>
        <v>124</v>
      </c>
      <c r="N981" t="str">
        <f t="shared" si="165"/>
        <v>Centre de Santé</v>
      </c>
      <c r="O981" t="str">
        <f>"60"</f>
        <v>60</v>
      </c>
      <c r="P981" t="str">
        <f>"Association Loi 1901 non Reconnue d'Utilité Publique"</f>
        <v>Association Loi 1901 non Reconnue d'Utilité Publique</v>
      </c>
      <c r="Q981" t="str">
        <f t="shared" si="166"/>
        <v>36</v>
      </c>
      <c r="R981" t="str">
        <f t="shared" si="167"/>
        <v>Tarifs conventionnels assurance maladie</v>
      </c>
      <c r="U981" t="str">
        <f>"750065864"</f>
        <v>750065864</v>
      </c>
    </row>
    <row r="982" spans="1:21" x14ac:dyDescent="0.3">
      <c r="A982" t="str">
        <f>"260021621"</f>
        <v>260021621</v>
      </c>
      <c r="B982" t="str">
        <f>"212 601 983 00019"</f>
        <v>212 601 983 00019</v>
      </c>
      <c r="D982" t="str">
        <f>"CENTRE DE SANTE MUNICIPAL MONTELIMAR"</f>
        <v>CENTRE DE SANTE MUNICIPAL MONTELIMAR</v>
      </c>
      <c r="F982" t="str">
        <f>"27 RUE PIERRE JULIEN"</f>
        <v>27 RUE PIERRE JULIEN</v>
      </c>
      <c r="H982" t="str">
        <f>"26200"</f>
        <v>26200</v>
      </c>
      <c r="I982" t="str">
        <f>"MONTELIMAR"</f>
        <v>MONTELIMAR</v>
      </c>
      <c r="L982" s="1">
        <v>44075</v>
      </c>
      <c r="M982" t="str">
        <f t="shared" si="164"/>
        <v>124</v>
      </c>
      <c r="N982" t="str">
        <f t="shared" si="165"/>
        <v>Centre de Santé</v>
      </c>
      <c r="O982" t="str">
        <f>"03"</f>
        <v>03</v>
      </c>
      <c r="P982" t="str">
        <f>"Commune"</f>
        <v>Commune</v>
      </c>
      <c r="Q982" t="str">
        <f t="shared" si="166"/>
        <v>36</v>
      </c>
      <c r="R982" t="str">
        <f t="shared" si="167"/>
        <v>Tarifs conventionnels assurance maladie</v>
      </c>
      <c r="U982" t="str">
        <f>"260021613"</f>
        <v>260021613</v>
      </c>
    </row>
    <row r="983" spans="1:21" x14ac:dyDescent="0.3">
      <c r="A983" t="str">
        <f>"690048434"</f>
        <v>690048434</v>
      </c>
      <c r="B983" t="str">
        <f>"881 944 623 00019"</f>
        <v>881 944 623 00019</v>
      </c>
      <c r="D983" t="str">
        <f>"CENTRE DE SANTE DENTAIRE VILLEURBANNE"</f>
        <v>CENTRE DE SANTE DENTAIRE VILLEURBANNE</v>
      </c>
      <c r="F983" t="str">
        <f>"9 COURS DE LA REPUBLIQUE"</f>
        <v>9 COURS DE LA REPUBLIQUE</v>
      </c>
      <c r="H983" t="str">
        <f>"69100"</f>
        <v>69100</v>
      </c>
      <c r="I983" t="str">
        <f>"VILLEURBANNE"</f>
        <v>VILLEURBANNE</v>
      </c>
      <c r="J983" t="str">
        <f>"06 88 40 95 35 "</f>
        <v xml:space="preserve">06 88 40 95 35 </v>
      </c>
      <c r="L983" s="1">
        <v>44075</v>
      </c>
      <c r="M983" t="str">
        <f t="shared" si="164"/>
        <v>124</v>
      </c>
      <c r="N983" t="str">
        <f t="shared" si="165"/>
        <v>Centre de Santé</v>
      </c>
      <c r="O983" t="str">
        <f>"60"</f>
        <v>60</v>
      </c>
      <c r="P983" t="str">
        <f>"Association Loi 1901 non Reconnue d'Utilité Publique"</f>
        <v>Association Loi 1901 non Reconnue d'Utilité Publique</v>
      </c>
      <c r="Q983" t="str">
        <f t="shared" si="166"/>
        <v>36</v>
      </c>
      <c r="R983" t="str">
        <f t="shared" si="167"/>
        <v>Tarifs conventionnels assurance maladie</v>
      </c>
      <c r="U983" t="str">
        <f>"690048426"</f>
        <v>690048426</v>
      </c>
    </row>
    <row r="984" spans="1:21" x14ac:dyDescent="0.3">
      <c r="A984" t="str">
        <f>"690048608"</f>
        <v>690048608</v>
      </c>
      <c r="B984" t="str">
        <f>"881 421 440 00028"</f>
        <v>881 421 440 00028</v>
      </c>
      <c r="D984" t="str">
        <f>"CENTRE DE SANTE DENTAIRE CARRE DE SOIE"</f>
        <v>CENTRE DE SANTE DENTAIRE CARRE DE SOIE</v>
      </c>
      <c r="F984" t="str">
        <f>"2 RUE DE LA POUDRETTE"</f>
        <v>2 RUE DE LA POUDRETTE</v>
      </c>
      <c r="H984" t="str">
        <f>"69100"</f>
        <v>69100</v>
      </c>
      <c r="I984" t="str">
        <f>"VILLEURBANNE"</f>
        <v>VILLEURBANNE</v>
      </c>
      <c r="J984" t="str">
        <f>"06 51 99 79 97 "</f>
        <v xml:space="preserve">06 51 99 79 97 </v>
      </c>
      <c r="L984" s="1">
        <v>44075</v>
      </c>
      <c r="M984" t="str">
        <f t="shared" si="164"/>
        <v>124</v>
      </c>
      <c r="N984" t="str">
        <f t="shared" si="165"/>
        <v>Centre de Santé</v>
      </c>
      <c r="O984" t="str">
        <f>"60"</f>
        <v>60</v>
      </c>
      <c r="P984" t="str">
        <f>"Association Loi 1901 non Reconnue d'Utilité Publique"</f>
        <v>Association Loi 1901 non Reconnue d'Utilité Publique</v>
      </c>
      <c r="Q984" t="str">
        <f t="shared" si="166"/>
        <v>36</v>
      </c>
      <c r="R984" t="str">
        <f t="shared" si="167"/>
        <v>Tarifs conventionnels assurance maladie</v>
      </c>
      <c r="U984" t="str">
        <f>"690048590"</f>
        <v>690048590</v>
      </c>
    </row>
    <row r="985" spans="1:21" x14ac:dyDescent="0.3">
      <c r="A985" t="str">
        <f>"750064792"</f>
        <v>750064792</v>
      </c>
      <c r="B985" t="str">
        <f>"853 682 946 00019"</f>
        <v>853 682 946 00019</v>
      </c>
      <c r="D985" t="str">
        <f>"CDS ITALIE"</f>
        <v>CDS ITALIE</v>
      </c>
      <c r="F985" t="str">
        <f>"130 AVENUE D'ITALIE"</f>
        <v>130 AVENUE D'ITALIE</v>
      </c>
      <c r="H985" t="str">
        <f>"75013"</f>
        <v>75013</v>
      </c>
      <c r="I985" t="str">
        <f>"PARIS"</f>
        <v>PARIS</v>
      </c>
      <c r="L985" s="1">
        <v>44075</v>
      </c>
      <c r="M985" t="str">
        <f t="shared" si="164"/>
        <v>124</v>
      </c>
      <c r="N985" t="str">
        <f t="shared" si="165"/>
        <v>Centre de Santé</v>
      </c>
      <c r="O985" t="str">
        <f>"60"</f>
        <v>60</v>
      </c>
      <c r="P985" t="str">
        <f>"Association Loi 1901 non Reconnue d'Utilité Publique"</f>
        <v>Association Loi 1901 non Reconnue d'Utilité Publique</v>
      </c>
      <c r="Q985" t="str">
        <f t="shared" si="166"/>
        <v>36</v>
      </c>
      <c r="R985" t="str">
        <f t="shared" si="167"/>
        <v>Tarifs conventionnels assurance maladie</v>
      </c>
      <c r="U985" t="str">
        <f>"750064610"</f>
        <v>750064610</v>
      </c>
    </row>
    <row r="986" spans="1:21" x14ac:dyDescent="0.3">
      <c r="A986" t="str">
        <f>"910025089"</f>
        <v>910025089</v>
      </c>
      <c r="B986" t="str">
        <f>"881 019 210 00015"</f>
        <v>881 019 210 00015</v>
      </c>
      <c r="D986" t="str">
        <f>"CDS SMD GRIGNY"</f>
        <v>CDS SMD GRIGNY</v>
      </c>
      <c r="F986" t="str">
        <f>"2 PLACE HENRI BARBUSSE"</f>
        <v>2 PLACE HENRI BARBUSSE</v>
      </c>
      <c r="H986" t="str">
        <f>"91350"</f>
        <v>91350</v>
      </c>
      <c r="I986" t="str">
        <f>"GRIGNY"</f>
        <v>GRIGNY</v>
      </c>
      <c r="L986" s="1">
        <v>44074</v>
      </c>
      <c r="M986" t="str">
        <f t="shared" si="164"/>
        <v>124</v>
      </c>
      <c r="N986" t="str">
        <f t="shared" si="165"/>
        <v>Centre de Santé</v>
      </c>
      <c r="O986" t="str">
        <f>"60"</f>
        <v>60</v>
      </c>
      <c r="P986" t="str">
        <f>"Association Loi 1901 non Reconnue d'Utilité Publique"</f>
        <v>Association Loi 1901 non Reconnue d'Utilité Publique</v>
      </c>
      <c r="Q986" t="str">
        <f t="shared" si="166"/>
        <v>36</v>
      </c>
      <c r="R986" t="str">
        <f t="shared" si="167"/>
        <v>Tarifs conventionnels assurance maladie</v>
      </c>
      <c r="U986" t="str">
        <f>"910025071"</f>
        <v>910025071</v>
      </c>
    </row>
    <row r="987" spans="1:21" x14ac:dyDescent="0.3">
      <c r="A987" t="str">
        <f>"210013520"</f>
        <v>210013520</v>
      </c>
      <c r="B987" t="str">
        <f>"885 227 041 00021"</f>
        <v>885 227 041 00021</v>
      </c>
      <c r="D987" t="str">
        <f>"CENTRE OPHTALMOLOGIE AUXONNE"</f>
        <v>CENTRE OPHTALMOLOGIE AUXONNE</v>
      </c>
      <c r="F987" t="str">
        <f>"1 RUE DENIS GAILLARD"</f>
        <v>1 RUE DENIS GAILLARD</v>
      </c>
      <c r="H987" t="str">
        <f>"21130"</f>
        <v>21130</v>
      </c>
      <c r="I987" t="str">
        <f>"AUXONNE"</f>
        <v>AUXONNE</v>
      </c>
      <c r="L987" s="1">
        <v>44071</v>
      </c>
      <c r="M987" t="str">
        <f t="shared" si="164"/>
        <v>124</v>
      </c>
      <c r="N987" t="str">
        <f t="shared" si="165"/>
        <v>Centre de Santé</v>
      </c>
      <c r="O987" t="str">
        <f>"60"</f>
        <v>60</v>
      </c>
      <c r="P987" t="str">
        <f>"Association Loi 1901 non Reconnue d'Utilité Publique"</f>
        <v>Association Loi 1901 non Reconnue d'Utilité Publique</v>
      </c>
      <c r="Q987" t="str">
        <f t="shared" si="166"/>
        <v>36</v>
      </c>
      <c r="R987" t="str">
        <f t="shared" si="167"/>
        <v>Tarifs conventionnels assurance maladie</v>
      </c>
      <c r="U987" t="str">
        <f>"330061425"</f>
        <v>330061425</v>
      </c>
    </row>
    <row r="988" spans="1:21" x14ac:dyDescent="0.3">
      <c r="A988" t="str">
        <f>"850028937"</f>
        <v>850028937</v>
      </c>
      <c r="B988" t="str">
        <f>"200 071 918 00011"</f>
        <v>200 071 918 00011</v>
      </c>
      <c r="D988" t="str">
        <f>"CENTRE COMMUNAUTAIRE MÉDICAL"</f>
        <v>CENTRE COMMUNAUTAIRE MÉDICAL</v>
      </c>
      <c r="F988" t="str">
        <f>"5 RUE DE GRASLA"</f>
        <v>5 RUE DE GRASLA</v>
      </c>
      <c r="H988" t="str">
        <f>"85140"</f>
        <v>85140</v>
      </c>
      <c r="I988" t="str">
        <f>"CHAUCHE"</f>
        <v>CHAUCHE</v>
      </c>
      <c r="J988" t="str">
        <f>"02 51 42 62 10 "</f>
        <v xml:space="preserve">02 51 42 62 10 </v>
      </c>
      <c r="L988" s="1">
        <v>44061</v>
      </c>
      <c r="M988" t="str">
        <f t="shared" si="164"/>
        <v>124</v>
      </c>
      <c r="N988" t="str">
        <f t="shared" si="165"/>
        <v>Centre de Santé</v>
      </c>
      <c r="O988" t="str">
        <f>"03"</f>
        <v>03</v>
      </c>
      <c r="P988" t="str">
        <f>"Commune"</f>
        <v>Commune</v>
      </c>
      <c r="Q988" t="str">
        <f t="shared" si="166"/>
        <v>36</v>
      </c>
      <c r="R988" t="str">
        <f t="shared" si="167"/>
        <v>Tarifs conventionnels assurance maladie</v>
      </c>
      <c r="U988" t="str">
        <f>"850028069"</f>
        <v>850028069</v>
      </c>
    </row>
    <row r="989" spans="1:21" x14ac:dyDescent="0.3">
      <c r="A989" t="str">
        <f>"910023639"</f>
        <v>910023639</v>
      </c>
      <c r="B989" t="str">
        <f>"313 524 753 00081"</f>
        <v>313 524 753 00081</v>
      </c>
      <c r="D989" t="str">
        <f>"CDS MEDICAL COSEM D'EVRY 2"</f>
        <v>CDS MEDICAL COSEM D'EVRY 2</v>
      </c>
      <c r="E989" t="str">
        <f>"CTRE COMMERCIAL REGIONAL EVRY 2"</f>
        <v>CTRE COMMERCIAL REGIONAL EVRY 2</v>
      </c>
      <c r="F989" t="str">
        <f>"2 BOULEVARD DE L'EUROPE"</f>
        <v>2 BOULEVARD DE L'EUROPE</v>
      </c>
      <c r="H989" t="str">
        <f>"91022"</f>
        <v>91022</v>
      </c>
      <c r="I989" t="str">
        <f>"EVRY CEDEX"</f>
        <v>EVRY CEDEX</v>
      </c>
      <c r="J989" t="str">
        <f>"01 58 22 90 02 "</f>
        <v xml:space="preserve">01 58 22 90 02 </v>
      </c>
      <c r="L989" s="1">
        <v>44061</v>
      </c>
      <c r="M989" t="str">
        <f t="shared" si="164"/>
        <v>124</v>
      </c>
      <c r="N989" t="str">
        <f t="shared" si="165"/>
        <v>Centre de Santé</v>
      </c>
      <c r="O989" t="str">
        <f>"60"</f>
        <v>60</v>
      </c>
      <c r="P989" t="str">
        <f>"Association Loi 1901 non Reconnue d'Utilité Publique"</f>
        <v>Association Loi 1901 non Reconnue d'Utilité Publique</v>
      </c>
      <c r="Q989" t="str">
        <f t="shared" si="166"/>
        <v>36</v>
      </c>
      <c r="R989" t="str">
        <f t="shared" si="167"/>
        <v>Tarifs conventionnels assurance maladie</v>
      </c>
      <c r="U989" t="str">
        <f>"750819583"</f>
        <v>750819583</v>
      </c>
    </row>
    <row r="990" spans="1:21" x14ac:dyDescent="0.3">
      <c r="A990" t="str">
        <f>"450022777"</f>
        <v>450022777</v>
      </c>
      <c r="B990" t="str">
        <f>"882 386 063 00011"</f>
        <v>882 386 063 00011</v>
      </c>
      <c r="D990" t="str">
        <f>"ACMO"</f>
        <v>ACMO</v>
      </c>
      <c r="F990" t="str">
        <f>"3 - 5 BOULEVARD DE VERDUN"</f>
        <v>3 - 5 BOULEVARD DE VERDUN</v>
      </c>
      <c r="H990" t="str">
        <f>"45000"</f>
        <v>45000</v>
      </c>
      <c r="I990" t="str">
        <f>"ORLEANS"</f>
        <v>ORLEANS</v>
      </c>
      <c r="J990" t="str">
        <f>"06 13 81 27 87 "</f>
        <v xml:space="preserve">06 13 81 27 87 </v>
      </c>
      <c r="L990" s="1">
        <v>44060</v>
      </c>
      <c r="M990" t="str">
        <f t="shared" si="164"/>
        <v>124</v>
      </c>
      <c r="N990" t="str">
        <f t="shared" si="165"/>
        <v>Centre de Santé</v>
      </c>
      <c r="O990" t="str">
        <f>"60"</f>
        <v>60</v>
      </c>
      <c r="P990" t="str">
        <f>"Association Loi 1901 non Reconnue d'Utilité Publique"</f>
        <v>Association Loi 1901 non Reconnue d'Utilité Publique</v>
      </c>
      <c r="Q990" t="str">
        <f>"99"</f>
        <v>99</v>
      </c>
      <c r="R990" t="str">
        <f>"Indéterminé"</f>
        <v>Indéterminé</v>
      </c>
      <c r="U990" t="str">
        <f>"450022769"</f>
        <v>450022769</v>
      </c>
    </row>
    <row r="991" spans="1:21" x14ac:dyDescent="0.3">
      <c r="A991" t="str">
        <f>"760038968"</f>
        <v>760038968</v>
      </c>
      <c r="B991" t="str">
        <f>"884 070 426 00025"</f>
        <v>884 070 426 00025</v>
      </c>
      <c r="D991" t="str">
        <f>"CENTRE OPHTALMOLOGIQUE CARE VISION"</f>
        <v>CENTRE OPHTALMOLOGIQUE CARE VISION</v>
      </c>
      <c r="F991" t="str">
        <f>"40 RUE BELLOT"</f>
        <v>40 RUE BELLOT</v>
      </c>
      <c r="H991" t="str">
        <f>"76600"</f>
        <v>76600</v>
      </c>
      <c r="I991" t="str">
        <f>"LE HAVRE"</f>
        <v>LE HAVRE</v>
      </c>
      <c r="J991" t="str">
        <f>"02 90 87 26 26 "</f>
        <v xml:space="preserve">02 90 87 26 26 </v>
      </c>
      <c r="L991" s="1">
        <v>44060</v>
      </c>
      <c r="M991" t="str">
        <f t="shared" si="164"/>
        <v>124</v>
      </c>
      <c r="N991" t="str">
        <f t="shared" si="165"/>
        <v>Centre de Santé</v>
      </c>
      <c r="O991" t="str">
        <f>"60"</f>
        <v>60</v>
      </c>
      <c r="P991" t="str">
        <f>"Association Loi 1901 non Reconnue d'Utilité Publique"</f>
        <v>Association Loi 1901 non Reconnue d'Utilité Publique</v>
      </c>
      <c r="Q991" t="str">
        <f>"36"</f>
        <v>36</v>
      </c>
      <c r="R991" t="str">
        <f>"Tarifs conventionnels assurance maladie"</f>
        <v>Tarifs conventionnels assurance maladie</v>
      </c>
      <c r="U991" t="str">
        <f>"760038950"</f>
        <v>760038950</v>
      </c>
    </row>
    <row r="992" spans="1:21" x14ac:dyDescent="0.3">
      <c r="A992" t="str">
        <f>"930029806"</f>
        <v>930029806</v>
      </c>
      <c r="B992" t="str">
        <f>"879 293 421 00019"</f>
        <v>879 293 421 00019</v>
      </c>
      <c r="D992" t="str">
        <f>"CDS MEDICO DENTAIRE GRANDE RUE"</f>
        <v>CDS MEDICO DENTAIRE GRANDE RUE</v>
      </c>
      <c r="F992" t="str">
        <f>"4 GRANDE RUE RUE"</f>
        <v>4 GRANDE RUE RUE</v>
      </c>
      <c r="H992" t="str">
        <f>"93250"</f>
        <v>93250</v>
      </c>
      <c r="I992" t="str">
        <f>"VILLEMOMBLE"</f>
        <v>VILLEMOMBLE</v>
      </c>
      <c r="J992" t="str">
        <f>"06 95 60 78 75 "</f>
        <v xml:space="preserve">06 95 60 78 75 </v>
      </c>
      <c r="L992" s="1">
        <v>44058</v>
      </c>
      <c r="M992" t="str">
        <f t="shared" si="164"/>
        <v>124</v>
      </c>
      <c r="N992" t="str">
        <f t="shared" si="165"/>
        <v>Centre de Santé</v>
      </c>
      <c r="O992" t="str">
        <f>"60"</f>
        <v>60</v>
      </c>
      <c r="P992" t="str">
        <f>"Association Loi 1901 non Reconnue d'Utilité Publique"</f>
        <v>Association Loi 1901 non Reconnue d'Utilité Publique</v>
      </c>
      <c r="Q992" t="str">
        <f>"36"</f>
        <v>36</v>
      </c>
      <c r="R992" t="str">
        <f>"Tarifs conventionnels assurance maladie"</f>
        <v>Tarifs conventionnels assurance maladie</v>
      </c>
      <c r="U992" t="str">
        <f>"930029574"</f>
        <v>930029574</v>
      </c>
    </row>
    <row r="993" spans="1:21" x14ac:dyDescent="0.3">
      <c r="A993" t="str">
        <f>"600015176"</f>
        <v>600015176</v>
      </c>
      <c r="D993" t="str">
        <f>"CENTRE DE SANTÉ"</f>
        <v>CENTRE DE SANTÉ</v>
      </c>
      <c r="F993" t="str">
        <f>"26 RUE DE LA PORTE DES CHAMPS"</f>
        <v>26 RUE DE LA PORTE DES CHAMPS</v>
      </c>
      <c r="H993" t="str">
        <f>"60110"</f>
        <v>60110</v>
      </c>
      <c r="I993" t="str">
        <f>"AMBLAINVILLE"</f>
        <v>AMBLAINVILLE</v>
      </c>
      <c r="J993" t="str">
        <f>"03 44 52 03 09 "</f>
        <v xml:space="preserve">03 44 52 03 09 </v>
      </c>
      <c r="L993" s="1">
        <v>44057</v>
      </c>
      <c r="M993" t="str">
        <f t="shared" si="164"/>
        <v>124</v>
      </c>
      <c r="N993" t="str">
        <f t="shared" si="165"/>
        <v>Centre de Santé</v>
      </c>
      <c r="O993" t="str">
        <f>"03"</f>
        <v>03</v>
      </c>
      <c r="P993" t="str">
        <f>"Commune"</f>
        <v>Commune</v>
      </c>
      <c r="Q993" t="str">
        <f>"36"</f>
        <v>36</v>
      </c>
      <c r="R993" t="str">
        <f>"Tarifs conventionnels assurance maladie"</f>
        <v>Tarifs conventionnels assurance maladie</v>
      </c>
      <c r="U993" t="str">
        <f>"600015168"</f>
        <v>600015168</v>
      </c>
    </row>
    <row r="994" spans="1:21" x14ac:dyDescent="0.3">
      <c r="A994" t="str">
        <f>"330061359"</f>
        <v>330061359</v>
      </c>
      <c r="B994" t="str">
        <f>"887 945 624 00013"</f>
        <v>887 945 624 00013</v>
      </c>
      <c r="D994" t="str">
        <f>"CENTRE MEDICAL ET DENTAIRE PEYRONNET"</f>
        <v>CENTRE MEDICAL ET DENTAIRE PEYRONNET</v>
      </c>
      <c r="F994" t="str">
        <f>"18 RUE PEYRONNET"</f>
        <v>18 RUE PEYRONNET</v>
      </c>
      <c r="H994" t="str">
        <f>"33800"</f>
        <v>33800</v>
      </c>
      <c r="I994" t="str">
        <f>"BORDEAUX"</f>
        <v>BORDEAUX</v>
      </c>
      <c r="L994" s="1">
        <v>44053</v>
      </c>
      <c r="M994" t="str">
        <f t="shared" si="164"/>
        <v>124</v>
      </c>
      <c r="N994" t="str">
        <f t="shared" si="165"/>
        <v>Centre de Santé</v>
      </c>
      <c r="O994" t="str">
        <f>"61"</f>
        <v>61</v>
      </c>
      <c r="P994" t="str">
        <f>"Association Loi 1901 Reconnue d'Utilité Publique"</f>
        <v>Association Loi 1901 Reconnue d'Utilité Publique</v>
      </c>
      <c r="Q994" t="str">
        <f>"36"</f>
        <v>36</v>
      </c>
      <c r="R994" t="str">
        <f>"Tarifs conventionnels assurance maladie"</f>
        <v>Tarifs conventionnels assurance maladie</v>
      </c>
      <c r="U994" t="str">
        <f>"330061342"</f>
        <v>330061342</v>
      </c>
    </row>
    <row r="995" spans="1:21" x14ac:dyDescent="0.3">
      <c r="A995" t="str">
        <f>"930029376"</f>
        <v>930029376</v>
      </c>
      <c r="B995" t="str">
        <f>"851 597 518 00014"</f>
        <v>851 597 518 00014</v>
      </c>
      <c r="D995" t="str">
        <f>"CDS DENTAIRE NOISY LE SEC"</f>
        <v>CDS DENTAIRE NOISY LE SEC</v>
      </c>
      <c r="F995" t="str">
        <f>"108 AVENUE JEAN JAURES"</f>
        <v>108 AVENUE JEAN JAURES</v>
      </c>
      <c r="H995" t="str">
        <f>"93130"</f>
        <v>93130</v>
      </c>
      <c r="I995" t="str">
        <f>"NOISY LE SEC"</f>
        <v>NOISY LE SEC</v>
      </c>
      <c r="J995" t="str">
        <f>"01 86 90 38 38 "</f>
        <v xml:space="preserve">01 86 90 38 38 </v>
      </c>
      <c r="L995" s="1">
        <v>44053</v>
      </c>
      <c r="M995" t="str">
        <f t="shared" si="164"/>
        <v>124</v>
      </c>
      <c r="N995" t="str">
        <f t="shared" si="165"/>
        <v>Centre de Santé</v>
      </c>
      <c r="O995" t="str">
        <f>"60"</f>
        <v>60</v>
      </c>
      <c r="P995" t="str">
        <f>"Association Loi 1901 non Reconnue d'Utilité Publique"</f>
        <v>Association Loi 1901 non Reconnue d'Utilité Publique</v>
      </c>
      <c r="Q995" t="str">
        <f>"36"</f>
        <v>36</v>
      </c>
      <c r="R995" t="str">
        <f>"Tarifs conventionnels assurance maladie"</f>
        <v>Tarifs conventionnels assurance maladie</v>
      </c>
      <c r="U995" t="str">
        <f>"930029350"</f>
        <v>930029350</v>
      </c>
    </row>
    <row r="996" spans="1:21" x14ac:dyDescent="0.3">
      <c r="A996" t="str">
        <f>"370015471"</f>
        <v>370015471</v>
      </c>
      <c r="B996" t="str">
        <f>"881 198 162 00011"</f>
        <v>881 198 162 00011</v>
      </c>
      <c r="D996" t="str">
        <f>"CENTRE DE SANTE DENTAIRE DENTEGO TOURS"</f>
        <v>CENTRE DE SANTE DENTAIRE DENTEGO TOURS</v>
      </c>
      <c r="F996" t="str">
        <f>"3 PLACE DU GENERAL LECLERC"</f>
        <v>3 PLACE DU GENERAL LECLERC</v>
      </c>
      <c r="H996" t="str">
        <f>"37000"</f>
        <v>37000</v>
      </c>
      <c r="I996" t="str">
        <f>"TOURS"</f>
        <v>TOURS</v>
      </c>
      <c r="L996" s="1">
        <v>44047</v>
      </c>
      <c r="M996" t="str">
        <f t="shared" si="164"/>
        <v>124</v>
      </c>
      <c r="N996" t="str">
        <f t="shared" si="165"/>
        <v>Centre de Santé</v>
      </c>
      <c r="O996" t="str">
        <f>"60"</f>
        <v>60</v>
      </c>
      <c r="P996" t="str">
        <f>"Association Loi 1901 non Reconnue d'Utilité Publique"</f>
        <v>Association Loi 1901 non Reconnue d'Utilité Publique</v>
      </c>
      <c r="Q996" t="str">
        <f>"99"</f>
        <v>99</v>
      </c>
      <c r="R996" t="str">
        <f>"Indéterminé"</f>
        <v>Indéterminé</v>
      </c>
      <c r="U996" t="str">
        <f>"370015463"</f>
        <v>370015463</v>
      </c>
    </row>
    <row r="997" spans="1:21" x14ac:dyDescent="0.3">
      <c r="A997" t="str">
        <f>"430009209"</f>
        <v>430009209</v>
      </c>
      <c r="B997" t="str">
        <f>"825 372 063 00032"</f>
        <v>825 372 063 00032</v>
      </c>
      <c r="D997" t="str">
        <f>"CENTRE DE SANTE DENTAIRE DU VELAY"</f>
        <v>CENTRE DE SANTE DENTAIRE DU VELAY</v>
      </c>
      <c r="F997" t="str">
        <f>"GARE"</f>
        <v>GARE</v>
      </c>
      <c r="H997" t="str">
        <f>"43200"</f>
        <v>43200</v>
      </c>
      <c r="I997" t="str">
        <f>"LAPTE"</f>
        <v>LAPTE</v>
      </c>
      <c r="J997" t="str">
        <f>"04 77 75 86 72 "</f>
        <v xml:space="preserve">04 77 75 86 72 </v>
      </c>
      <c r="L997" s="1">
        <v>44044</v>
      </c>
      <c r="M997" t="str">
        <f t="shared" si="164"/>
        <v>124</v>
      </c>
      <c r="N997" t="str">
        <f t="shared" si="165"/>
        <v>Centre de Santé</v>
      </c>
      <c r="O997" t="str">
        <f>"60"</f>
        <v>60</v>
      </c>
      <c r="P997" t="str">
        <f>"Association Loi 1901 non Reconnue d'Utilité Publique"</f>
        <v>Association Loi 1901 non Reconnue d'Utilité Publique</v>
      </c>
      <c r="Q997" t="str">
        <f t="shared" ref="Q997:Q1032" si="168">"36"</f>
        <v>36</v>
      </c>
      <c r="R997" t="str">
        <f t="shared" ref="R997:R1032" si="169">"Tarifs conventionnels assurance maladie"</f>
        <v>Tarifs conventionnels assurance maladie</v>
      </c>
      <c r="U997" t="str">
        <f>"420016560"</f>
        <v>420016560</v>
      </c>
    </row>
    <row r="998" spans="1:21" x14ac:dyDescent="0.3">
      <c r="A998" t="str">
        <f>"750065955"</f>
        <v>750065955</v>
      </c>
      <c r="B998" t="str">
        <f>"313 524 753 00214"</f>
        <v>313 524 753 00214</v>
      </c>
      <c r="D998" t="str">
        <f>"CDS PASQUIER"</f>
        <v>CDS PASQUIER</v>
      </c>
      <c r="F998" t="str">
        <f>"44 RUE PASQUIER"</f>
        <v>44 RUE PASQUIER</v>
      </c>
      <c r="H998" t="str">
        <f>"75008"</f>
        <v>75008</v>
      </c>
      <c r="I998" t="str">
        <f>"PARIS"</f>
        <v>PARIS</v>
      </c>
      <c r="L998" s="1">
        <v>44043</v>
      </c>
      <c r="M998" t="str">
        <f t="shared" si="164"/>
        <v>124</v>
      </c>
      <c r="N998" t="str">
        <f t="shared" si="165"/>
        <v>Centre de Santé</v>
      </c>
      <c r="O998" t="str">
        <f>"60"</f>
        <v>60</v>
      </c>
      <c r="P998" t="str">
        <f>"Association Loi 1901 non Reconnue d'Utilité Publique"</f>
        <v>Association Loi 1901 non Reconnue d'Utilité Publique</v>
      </c>
      <c r="Q998" t="str">
        <f t="shared" si="168"/>
        <v>36</v>
      </c>
      <c r="R998" t="str">
        <f t="shared" si="169"/>
        <v>Tarifs conventionnels assurance maladie</v>
      </c>
      <c r="U998" t="str">
        <f>"750819583"</f>
        <v>750819583</v>
      </c>
    </row>
    <row r="999" spans="1:21" x14ac:dyDescent="0.3">
      <c r="A999" t="str">
        <f>"770023620"</f>
        <v>770023620</v>
      </c>
      <c r="B999" t="str">
        <f>"217 704 873 00017"</f>
        <v>217 704 873 00017</v>
      </c>
      <c r="D999" t="str">
        <f>"CDS MUNICIPAL MARIE CURIE"</f>
        <v>CDS MUNICIPAL MARIE CURIE</v>
      </c>
      <c r="F999" t="str">
        <f>"2 RUE PIERRE ET MARIE CURIE"</f>
        <v>2 RUE PIERRE ET MARIE CURIE</v>
      </c>
      <c r="H999" t="str">
        <f>"77000"</f>
        <v>77000</v>
      </c>
      <c r="I999" t="str">
        <f>"VAUX LE PENIL"</f>
        <v>VAUX LE PENIL</v>
      </c>
      <c r="J999" t="str">
        <f>"01 64 71 51 04 "</f>
        <v xml:space="preserve">01 64 71 51 04 </v>
      </c>
      <c r="L999" s="1">
        <v>44043</v>
      </c>
      <c r="M999" t="str">
        <f t="shared" si="164"/>
        <v>124</v>
      </c>
      <c r="N999" t="str">
        <f t="shared" si="165"/>
        <v>Centre de Santé</v>
      </c>
      <c r="O999" t="str">
        <f>"03"</f>
        <v>03</v>
      </c>
      <c r="P999" t="str">
        <f>"Commune"</f>
        <v>Commune</v>
      </c>
      <c r="Q999" t="str">
        <f t="shared" si="168"/>
        <v>36</v>
      </c>
      <c r="R999" t="str">
        <f t="shared" si="169"/>
        <v>Tarifs conventionnels assurance maladie</v>
      </c>
      <c r="U999" t="str">
        <f>"770023612"</f>
        <v>770023612</v>
      </c>
    </row>
    <row r="1000" spans="1:21" x14ac:dyDescent="0.3">
      <c r="A1000" t="str">
        <f>"920036589"</f>
        <v>920036589</v>
      </c>
      <c r="B1000" t="str">
        <f>"878 925 551 00011"</f>
        <v>878 925 551 00011</v>
      </c>
      <c r="D1000" t="str">
        <f>"CDS OPHTALMOLOGIQUE QWARTZ"</f>
        <v>CDS OPHTALMOLOGIQUE QWARTZ</v>
      </c>
      <c r="F1000" t="str">
        <f>"4 BOULEVARD GALLIENI"</f>
        <v>4 BOULEVARD GALLIENI</v>
      </c>
      <c r="G1000" t="str">
        <f>"CENTRE COMMERCIAL QWARTZ"</f>
        <v>CENTRE COMMERCIAL QWARTZ</v>
      </c>
      <c r="H1000" t="str">
        <f>"92390"</f>
        <v>92390</v>
      </c>
      <c r="I1000" t="str">
        <f>"VILLENEUVE LA GARENNE"</f>
        <v>VILLENEUVE LA GARENNE</v>
      </c>
      <c r="L1000" s="1">
        <v>44043</v>
      </c>
      <c r="M1000" t="str">
        <f t="shared" si="164"/>
        <v>124</v>
      </c>
      <c r="N1000" t="str">
        <f t="shared" si="165"/>
        <v>Centre de Santé</v>
      </c>
      <c r="O1000" t="str">
        <f t="shared" ref="O1000:O1018" si="170">"60"</f>
        <v>60</v>
      </c>
      <c r="P1000" t="str">
        <f t="shared" ref="P1000:P1018" si="171">"Association Loi 1901 non Reconnue d'Utilité Publique"</f>
        <v>Association Loi 1901 non Reconnue d'Utilité Publique</v>
      </c>
      <c r="Q1000" t="str">
        <f t="shared" si="168"/>
        <v>36</v>
      </c>
      <c r="R1000" t="str">
        <f t="shared" si="169"/>
        <v>Tarifs conventionnels assurance maladie</v>
      </c>
      <c r="U1000" t="str">
        <f>"920036571"</f>
        <v>920036571</v>
      </c>
    </row>
    <row r="1001" spans="1:21" x14ac:dyDescent="0.3">
      <c r="A1001" t="str">
        <f>"750065823"</f>
        <v>750065823</v>
      </c>
      <c r="B1001" t="str">
        <f>"881 346 340 00014"</f>
        <v>881 346 340 00014</v>
      </c>
      <c r="D1001" t="str">
        <f>"CDS DENTAIRE DE LA PORTE DE VINCENNES"</f>
        <v>CDS DENTAIRE DE LA PORTE DE VINCENNES</v>
      </c>
      <c r="E1001" t="str">
        <f>"107-109"</f>
        <v>107-109</v>
      </c>
      <c r="F1001" t="str">
        <f>"107 COUR DE VINCENNES"</f>
        <v>107 COUR DE VINCENNES</v>
      </c>
      <c r="H1001" t="str">
        <f>"75020"</f>
        <v>75020</v>
      </c>
      <c r="I1001" t="str">
        <f>"PARIS"</f>
        <v>PARIS</v>
      </c>
      <c r="L1001" s="1">
        <v>44041</v>
      </c>
      <c r="M1001" t="str">
        <f t="shared" si="164"/>
        <v>124</v>
      </c>
      <c r="N1001" t="str">
        <f t="shared" si="165"/>
        <v>Centre de Santé</v>
      </c>
      <c r="O1001" t="str">
        <f t="shared" si="170"/>
        <v>60</v>
      </c>
      <c r="P1001" t="str">
        <f t="shared" si="171"/>
        <v>Association Loi 1901 non Reconnue d'Utilité Publique</v>
      </c>
      <c r="Q1001" t="str">
        <f t="shared" si="168"/>
        <v>36</v>
      </c>
      <c r="R1001" t="str">
        <f t="shared" si="169"/>
        <v>Tarifs conventionnels assurance maladie</v>
      </c>
      <c r="U1001" t="str">
        <f>"750065815"</f>
        <v>750065815</v>
      </c>
    </row>
    <row r="1002" spans="1:21" x14ac:dyDescent="0.3">
      <c r="A1002" t="str">
        <f>"750065856"</f>
        <v>750065856</v>
      </c>
      <c r="B1002" t="str">
        <f>"884 390 089 00016"</f>
        <v>884 390 089 00016</v>
      </c>
      <c r="D1002" t="str">
        <f>"CDS OPHTALMOLOGIQUE HELLO SANTE"</f>
        <v>CDS OPHTALMOLOGIQUE HELLO SANTE</v>
      </c>
      <c r="F1002" t="str">
        <f>"91 AVENUE DE CLICHY"</f>
        <v>91 AVENUE DE CLICHY</v>
      </c>
      <c r="H1002" t="str">
        <f>"75017"</f>
        <v>75017</v>
      </c>
      <c r="I1002" t="str">
        <f>"PARIS"</f>
        <v>PARIS</v>
      </c>
      <c r="J1002" t="str">
        <f>"06 27 73 68 17 "</f>
        <v xml:space="preserve">06 27 73 68 17 </v>
      </c>
      <c r="L1002" s="1">
        <v>44041</v>
      </c>
      <c r="M1002" t="str">
        <f t="shared" si="164"/>
        <v>124</v>
      </c>
      <c r="N1002" t="str">
        <f t="shared" si="165"/>
        <v>Centre de Santé</v>
      </c>
      <c r="O1002" t="str">
        <f t="shared" si="170"/>
        <v>60</v>
      </c>
      <c r="P1002" t="str">
        <f t="shared" si="171"/>
        <v>Association Loi 1901 non Reconnue d'Utilité Publique</v>
      </c>
      <c r="Q1002" t="str">
        <f t="shared" si="168"/>
        <v>36</v>
      </c>
      <c r="R1002" t="str">
        <f t="shared" si="169"/>
        <v>Tarifs conventionnels assurance maladie</v>
      </c>
      <c r="U1002" t="str">
        <f>"750065849"</f>
        <v>750065849</v>
      </c>
    </row>
    <row r="1003" spans="1:21" x14ac:dyDescent="0.3">
      <c r="A1003" t="str">
        <f>"750065906"</f>
        <v>750065906</v>
      </c>
      <c r="B1003" t="str">
        <f>"851 203 455 00015"</f>
        <v>851 203 455 00015</v>
      </c>
      <c r="D1003" t="str">
        <f>"CDS MEDICO DENTAIRE CHARONNE"</f>
        <v>CDS MEDICO DENTAIRE CHARONNE</v>
      </c>
      <c r="F1003" t="str">
        <f>"87 BOULEVARD DE CHARONNE"</f>
        <v>87 BOULEVARD DE CHARONNE</v>
      </c>
      <c r="H1003" t="str">
        <f>"75011"</f>
        <v>75011</v>
      </c>
      <c r="I1003" t="str">
        <f>"PARIS"</f>
        <v>PARIS</v>
      </c>
      <c r="J1003" t="str">
        <f>"06 09 78 68 23 "</f>
        <v xml:space="preserve">06 09 78 68 23 </v>
      </c>
      <c r="L1003" s="1">
        <v>44041</v>
      </c>
      <c r="M1003" t="str">
        <f t="shared" si="164"/>
        <v>124</v>
      </c>
      <c r="N1003" t="str">
        <f t="shared" si="165"/>
        <v>Centre de Santé</v>
      </c>
      <c r="O1003" t="str">
        <f t="shared" si="170"/>
        <v>60</v>
      </c>
      <c r="P1003" t="str">
        <f t="shared" si="171"/>
        <v>Association Loi 1901 non Reconnue d'Utilité Publique</v>
      </c>
      <c r="Q1003" t="str">
        <f t="shared" si="168"/>
        <v>36</v>
      </c>
      <c r="R1003" t="str">
        <f t="shared" si="169"/>
        <v>Tarifs conventionnels assurance maladie</v>
      </c>
      <c r="U1003" t="str">
        <f>"750065898"</f>
        <v>750065898</v>
      </c>
    </row>
    <row r="1004" spans="1:21" x14ac:dyDescent="0.3">
      <c r="A1004" t="str">
        <f>"750065948"</f>
        <v>750065948</v>
      </c>
      <c r="B1004" t="str">
        <f>"879 826 204 00015"</f>
        <v>879 826 204 00015</v>
      </c>
      <c r="D1004" t="str">
        <f>"CDS MEDICO DENTAIRE GLACIERE"</f>
        <v>CDS MEDICO DENTAIRE GLACIERE</v>
      </c>
      <c r="F1004" t="str">
        <f>"127 BOULEVARD AUGUSTE BLANQUI"</f>
        <v>127 BOULEVARD AUGUSTE BLANQUI</v>
      </c>
      <c r="H1004" t="str">
        <f>"75013"</f>
        <v>75013</v>
      </c>
      <c r="I1004" t="str">
        <f>"PARIS"</f>
        <v>PARIS</v>
      </c>
      <c r="L1004" s="1">
        <v>44041</v>
      </c>
      <c r="M1004" t="str">
        <f t="shared" si="164"/>
        <v>124</v>
      </c>
      <c r="N1004" t="str">
        <f t="shared" si="165"/>
        <v>Centre de Santé</v>
      </c>
      <c r="O1004" t="str">
        <f t="shared" si="170"/>
        <v>60</v>
      </c>
      <c r="P1004" t="str">
        <f t="shared" si="171"/>
        <v>Association Loi 1901 non Reconnue d'Utilité Publique</v>
      </c>
      <c r="Q1004" t="str">
        <f t="shared" si="168"/>
        <v>36</v>
      </c>
      <c r="R1004" t="str">
        <f t="shared" si="169"/>
        <v>Tarifs conventionnels assurance maladie</v>
      </c>
      <c r="U1004" t="str">
        <f>"750065930"</f>
        <v>750065930</v>
      </c>
    </row>
    <row r="1005" spans="1:21" x14ac:dyDescent="0.3">
      <c r="A1005" t="str">
        <f>"770023570"</f>
        <v>770023570</v>
      </c>
      <c r="B1005" t="str">
        <f>"884 673 468 00010"</f>
        <v>884 673 468 00010</v>
      </c>
      <c r="D1005" t="str">
        <f>"CDS MEDICO DENTAIRE DE TORCY"</f>
        <v>CDS MEDICO DENTAIRE DE TORCY</v>
      </c>
      <c r="F1005" t="str">
        <f>"20 RUE PIERRE MENDES FRANCE"</f>
        <v>20 RUE PIERRE MENDES FRANCE</v>
      </c>
      <c r="H1005" t="str">
        <f>"77200"</f>
        <v>77200</v>
      </c>
      <c r="I1005" t="str">
        <f>"TORCY"</f>
        <v>TORCY</v>
      </c>
      <c r="J1005" t="str">
        <f>"06 01 59 09 10 "</f>
        <v xml:space="preserve">06 01 59 09 10 </v>
      </c>
      <c r="L1005" s="1">
        <v>44041</v>
      </c>
      <c r="M1005" t="str">
        <f t="shared" si="164"/>
        <v>124</v>
      </c>
      <c r="N1005" t="str">
        <f t="shared" si="165"/>
        <v>Centre de Santé</v>
      </c>
      <c r="O1005" t="str">
        <f t="shared" si="170"/>
        <v>60</v>
      </c>
      <c r="P1005" t="str">
        <f t="shared" si="171"/>
        <v>Association Loi 1901 non Reconnue d'Utilité Publique</v>
      </c>
      <c r="Q1005" t="str">
        <f t="shared" si="168"/>
        <v>36</v>
      </c>
      <c r="R1005" t="str">
        <f t="shared" si="169"/>
        <v>Tarifs conventionnels assurance maladie</v>
      </c>
      <c r="U1005" t="str">
        <f>"770023562"</f>
        <v>770023562</v>
      </c>
    </row>
    <row r="1006" spans="1:21" x14ac:dyDescent="0.3">
      <c r="A1006" t="str">
        <f>"770023596"</f>
        <v>770023596</v>
      </c>
      <c r="B1006" t="str">
        <f>"883 905 168 00018"</f>
        <v>883 905 168 00018</v>
      </c>
      <c r="D1006" t="str">
        <f>"CDS DENTAIRE VERTUO COLLEGIEN"</f>
        <v>CDS DENTAIRE VERTUO COLLEGIEN</v>
      </c>
      <c r="F1006" t="str">
        <f>"RUE DU GENERAL DE GAULLE"</f>
        <v>RUE DU GENERAL DE GAULLE</v>
      </c>
      <c r="G1006" t="str">
        <f>"BAY2"</f>
        <v>BAY2</v>
      </c>
      <c r="H1006" t="str">
        <f>"77090"</f>
        <v>77090</v>
      </c>
      <c r="I1006" t="str">
        <f>"COLLEGIEN"</f>
        <v>COLLEGIEN</v>
      </c>
      <c r="J1006" t="str">
        <f>"06 79 84 20 31 "</f>
        <v xml:space="preserve">06 79 84 20 31 </v>
      </c>
      <c r="L1006" s="1">
        <v>44041</v>
      </c>
      <c r="M1006" t="str">
        <f t="shared" si="164"/>
        <v>124</v>
      </c>
      <c r="N1006" t="str">
        <f t="shared" si="165"/>
        <v>Centre de Santé</v>
      </c>
      <c r="O1006" t="str">
        <f t="shared" si="170"/>
        <v>60</v>
      </c>
      <c r="P1006" t="str">
        <f t="shared" si="171"/>
        <v>Association Loi 1901 non Reconnue d'Utilité Publique</v>
      </c>
      <c r="Q1006" t="str">
        <f t="shared" si="168"/>
        <v>36</v>
      </c>
      <c r="R1006" t="str">
        <f t="shared" si="169"/>
        <v>Tarifs conventionnels assurance maladie</v>
      </c>
      <c r="U1006" t="str">
        <f>"770023588"</f>
        <v>770023588</v>
      </c>
    </row>
    <row r="1007" spans="1:21" x14ac:dyDescent="0.3">
      <c r="A1007" t="str">
        <f>"780027959"</f>
        <v>780027959</v>
      </c>
      <c r="B1007" t="str">
        <f>"883 738 288 00017"</f>
        <v>883 738 288 00017</v>
      </c>
      <c r="D1007" t="str">
        <f>"CDS MEDVISION"</f>
        <v>CDS MEDVISION</v>
      </c>
      <c r="F1007" t="str">
        <f>"29 AVENUE LUCIEN RENE DUCHESNE"</f>
        <v>29 AVENUE LUCIEN RENE DUCHESNE</v>
      </c>
      <c r="H1007" t="str">
        <f>"78170"</f>
        <v>78170</v>
      </c>
      <c r="I1007" t="str">
        <f>"LA CELLE ST CLOUD"</f>
        <v>LA CELLE ST CLOUD</v>
      </c>
      <c r="J1007" t="str">
        <f>"01 30 87 95 15 "</f>
        <v xml:space="preserve">01 30 87 95 15 </v>
      </c>
      <c r="L1007" s="1">
        <v>44041</v>
      </c>
      <c r="M1007" t="str">
        <f t="shared" si="164"/>
        <v>124</v>
      </c>
      <c r="N1007" t="str">
        <f t="shared" si="165"/>
        <v>Centre de Santé</v>
      </c>
      <c r="O1007" t="str">
        <f t="shared" si="170"/>
        <v>60</v>
      </c>
      <c r="P1007" t="str">
        <f t="shared" si="171"/>
        <v>Association Loi 1901 non Reconnue d'Utilité Publique</v>
      </c>
      <c r="Q1007" t="str">
        <f t="shared" si="168"/>
        <v>36</v>
      </c>
      <c r="R1007" t="str">
        <f t="shared" si="169"/>
        <v>Tarifs conventionnels assurance maladie</v>
      </c>
      <c r="U1007" t="str">
        <f>"780027942"</f>
        <v>780027942</v>
      </c>
    </row>
    <row r="1008" spans="1:21" x14ac:dyDescent="0.3">
      <c r="A1008" t="str">
        <f>"920036563"</f>
        <v>920036563</v>
      </c>
      <c r="B1008" t="str">
        <f>"884 538 455 00012"</f>
        <v>884 538 455 00012</v>
      </c>
      <c r="D1008" t="str">
        <f>"CDS OPHTALMOLOGIE NANTERRE LA BOULE"</f>
        <v>CDS OPHTALMOLOGIE NANTERRE LA BOULE</v>
      </c>
      <c r="F1008" t="str">
        <f>"16 AVENUE DU MARECHAL JOFFRE"</f>
        <v>16 AVENUE DU MARECHAL JOFFRE</v>
      </c>
      <c r="H1008" t="str">
        <f>"92000"</f>
        <v>92000</v>
      </c>
      <c r="I1008" t="str">
        <f>"NANTERRE"</f>
        <v>NANTERRE</v>
      </c>
      <c r="J1008" t="str">
        <f>"06 15 47 18 76 "</f>
        <v xml:space="preserve">06 15 47 18 76 </v>
      </c>
      <c r="L1008" s="1">
        <v>44041</v>
      </c>
      <c r="M1008" t="str">
        <f t="shared" si="164"/>
        <v>124</v>
      </c>
      <c r="N1008" t="str">
        <f t="shared" si="165"/>
        <v>Centre de Santé</v>
      </c>
      <c r="O1008" t="str">
        <f t="shared" si="170"/>
        <v>60</v>
      </c>
      <c r="P1008" t="str">
        <f t="shared" si="171"/>
        <v>Association Loi 1901 non Reconnue d'Utilité Publique</v>
      </c>
      <c r="Q1008" t="str">
        <f t="shared" si="168"/>
        <v>36</v>
      </c>
      <c r="R1008" t="str">
        <f t="shared" si="169"/>
        <v>Tarifs conventionnels assurance maladie</v>
      </c>
      <c r="U1008" t="str">
        <f>"750065922"</f>
        <v>750065922</v>
      </c>
    </row>
    <row r="1009" spans="1:21" x14ac:dyDescent="0.3">
      <c r="A1009" t="str">
        <f>"930029897"</f>
        <v>930029897</v>
      </c>
      <c r="B1009" t="str">
        <f>"880 769 179 00016"</f>
        <v>880 769 179 00016</v>
      </c>
      <c r="D1009" t="str">
        <f>"CDS MEDICAL ET DENTAIRE SM LE RAINCY"</f>
        <v>CDS MEDICAL ET DENTAIRE SM LE RAINCY</v>
      </c>
      <c r="F1009" t="str">
        <f>"68 AVENUE DE LA RESISTANCE"</f>
        <v>68 AVENUE DE LA RESISTANCE</v>
      </c>
      <c r="H1009" t="str">
        <f>"93340"</f>
        <v>93340</v>
      </c>
      <c r="I1009" t="str">
        <f>"LE RAINCY"</f>
        <v>LE RAINCY</v>
      </c>
      <c r="L1009" s="1">
        <v>44041</v>
      </c>
      <c r="M1009" t="str">
        <f t="shared" si="164"/>
        <v>124</v>
      </c>
      <c r="N1009" t="str">
        <f t="shared" si="165"/>
        <v>Centre de Santé</v>
      </c>
      <c r="O1009" t="str">
        <f t="shared" si="170"/>
        <v>60</v>
      </c>
      <c r="P1009" t="str">
        <f t="shared" si="171"/>
        <v>Association Loi 1901 non Reconnue d'Utilité Publique</v>
      </c>
      <c r="Q1009" t="str">
        <f t="shared" si="168"/>
        <v>36</v>
      </c>
      <c r="R1009" t="str">
        <f t="shared" si="169"/>
        <v>Tarifs conventionnels assurance maladie</v>
      </c>
      <c r="U1009" t="str">
        <f>"930029889"</f>
        <v>930029889</v>
      </c>
    </row>
    <row r="1010" spans="1:21" x14ac:dyDescent="0.3">
      <c r="A1010" t="str">
        <f>"930029921"</f>
        <v>930029921</v>
      </c>
      <c r="B1010" t="str">
        <f>"885 208 116 00016"</f>
        <v>885 208 116 00016</v>
      </c>
      <c r="D1010" t="str">
        <f>"CDS EFFISANTE"</f>
        <v>CDS EFFISANTE</v>
      </c>
      <c r="F1010" t="str">
        <f>"116 AVENUE GABRIEL PERI"</f>
        <v>116 AVENUE GABRIEL PERI</v>
      </c>
      <c r="H1010" t="str">
        <f>"93400"</f>
        <v>93400</v>
      </c>
      <c r="I1010" t="str">
        <f>"ST OUEN SUR SEINE"</f>
        <v>ST OUEN SUR SEINE</v>
      </c>
      <c r="J1010" t="str">
        <f>"01 84 74 09 09 "</f>
        <v xml:space="preserve">01 84 74 09 09 </v>
      </c>
      <c r="L1010" s="1">
        <v>44041</v>
      </c>
      <c r="M1010" t="str">
        <f t="shared" si="164"/>
        <v>124</v>
      </c>
      <c r="N1010" t="str">
        <f t="shared" si="165"/>
        <v>Centre de Santé</v>
      </c>
      <c r="O1010" t="str">
        <f t="shared" si="170"/>
        <v>60</v>
      </c>
      <c r="P1010" t="str">
        <f t="shared" si="171"/>
        <v>Association Loi 1901 non Reconnue d'Utilité Publique</v>
      </c>
      <c r="Q1010" t="str">
        <f t="shared" si="168"/>
        <v>36</v>
      </c>
      <c r="R1010" t="str">
        <f t="shared" si="169"/>
        <v>Tarifs conventionnels assurance maladie</v>
      </c>
      <c r="U1010" t="str">
        <f>"930029913"</f>
        <v>930029913</v>
      </c>
    </row>
    <row r="1011" spans="1:21" x14ac:dyDescent="0.3">
      <c r="A1011" t="str">
        <f>"940026511"</f>
        <v>940026511</v>
      </c>
      <c r="B1011" t="str">
        <f>"884 451 535 00022"</f>
        <v>884 451 535 00022</v>
      </c>
      <c r="D1011" t="str">
        <f>"CDS DENTAIRE DE ST MANDE"</f>
        <v>CDS DENTAIRE DE ST MANDE</v>
      </c>
      <c r="F1011" t="str">
        <f>"12 AVENUE VICTOR HUGO"</f>
        <v>12 AVENUE VICTOR HUGO</v>
      </c>
      <c r="H1011" t="str">
        <f>"94160"</f>
        <v>94160</v>
      </c>
      <c r="I1011" t="str">
        <f>"ST MANDE"</f>
        <v>ST MANDE</v>
      </c>
      <c r="J1011" t="str">
        <f>"01 84 77 12 55 "</f>
        <v xml:space="preserve">01 84 77 12 55 </v>
      </c>
      <c r="L1011" s="1">
        <v>44041</v>
      </c>
      <c r="M1011" t="str">
        <f t="shared" si="164"/>
        <v>124</v>
      </c>
      <c r="N1011" t="str">
        <f t="shared" si="165"/>
        <v>Centre de Santé</v>
      </c>
      <c r="O1011" t="str">
        <f t="shared" si="170"/>
        <v>60</v>
      </c>
      <c r="P1011" t="str">
        <f t="shared" si="171"/>
        <v>Association Loi 1901 non Reconnue d'Utilité Publique</v>
      </c>
      <c r="Q1011" t="str">
        <f t="shared" si="168"/>
        <v>36</v>
      </c>
      <c r="R1011" t="str">
        <f t="shared" si="169"/>
        <v>Tarifs conventionnels assurance maladie</v>
      </c>
      <c r="U1011" t="str">
        <f>"940029796"</f>
        <v>940029796</v>
      </c>
    </row>
    <row r="1012" spans="1:21" x14ac:dyDescent="0.3">
      <c r="A1012" t="str">
        <f>"940026537"</f>
        <v>940026537</v>
      </c>
      <c r="B1012" t="str">
        <f>"881 809 206 00017"</f>
        <v>881 809 206 00017</v>
      </c>
      <c r="D1012" t="str">
        <f>"CDS VISIONNEO"</f>
        <v>CDS VISIONNEO</v>
      </c>
      <c r="F1012" t="str">
        <f>"42 AVENUE PIERRE BROSSOLETTE"</f>
        <v>42 AVENUE PIERRE BROSSOLETTE</v>
      </c>
      <c r="H1012" t="str">
        <f>"94000"</f>
        <v>94000</v>
      </c>
      <c r="I1012" t="str">
        <f>"CRETEIL"</f>
        <v>CRETEIL</v>
      </c>
      <c r="J1012" t="str">
        <f>"01 48 98 19 30 "</f>
        <v xml:space="preserve">01 48 98 19 30 </v>
      </c>
      <c r="L1012" s="1">
        <v>44041</v>
      </c>
      <c r="M1012" t="str">
        <f t="shared" si="164"/>
        <v>124</v>
      </c>
      <c r="N1012" t="str">
        <f t="shared" si="165"/>
        <v>Centre de Santé</v>
      </c>
      <c r="O1012" t="str">
        <f t="shared" si="170"/>
        <v>60</v>
      </c>
      <c r="P1012" t="str">
        <f t="shared" si="171"/>
        <v>Association Loi 1901 non Reconnue d'Utilité Publique</v>
      </c>
      <c r="Q1012" t="str">
        <f t="shared" si="168"/>
        <v>36</v>
      </c>
      <c r="R1012" t="str">
        <f t="shared" si="169"/>
        <v>Tarifs conventionnels assurance maladie</v>
      </c>
      <c r="U1012" t="str">
        <f>"940026529"</f>
        <v>940026529</v>
      </c>
    </row>
    <row r="1013" spans="1:21" x14ac:dyDescent="0.3">
      <c r="A1013" t="str">
        <f>"940026545"</f>
        <v>940026545</v>
      </c>
      <c r="B1013" t="str">
        <f>"879 635 043 00018"</f>
        <v>879 635 043 00018</v>
      </c>
      <c r="D1013" t="str">
        <f>"CDS SAGEO IVRY SUR SEINE"</f>
        <v>CDS SAGEO IVRY SUR SEINE</v>
      </c>
      <c r="F1013" t="str">
        <f>"32 RUE LEDRU ROLLIN"</f>
        <v>32 RUE LEDRU ROLLIN</v>
      </c>
      <c r="H1013" t="str">
        <f>"94200"</f>
        <v>94200</v>
      </c>
      <c r="I1013" t="str">
        <f>"IVRY SUR SEINE"</f>
        <v>IVRY SUR SEINE</v>
      </c>
      <c r="J1013" t="str">
        <f>"01 88 15 01 00 "</f>
        <v xml:space="preserve">01 88 15 01 00 </v>
      </c>
      <c r="L1013" s="1">
        <v>44041</v>
      </c>
      <c r="M1013" t="str">
        <f t="shared" si="164"/>
        <v>124</v>
      </c>
      <c r="N1013" t="str">
        <f t="shared" si="165"/>
        <v>Centre de Santé</v>
      </c>
      <c r="O1013" t="str">
        <f t="shared" si="170"/>
        <v>60</v>
      </c>
      <c r="P1013" t="str">
        <f t="shared" si="171"/>
        <v>Association Loi 1901 non Reconnue d'Utilité Publique</v>
      </c>
      <c r="Q1013" t="str">
        <f t="shared" si="168"/>
        <v>36</v>
      </c>
      <c r="R1013" t="str">
        <f t="shared" si="169"/>
        <v>Tarifs conventionnels assurance maladie</v>
      </c>
      <c r="U1013" t="str">
        <f>"750065880"</f>
        <v>750065880</v>
      </c>
    </row>
    <row r="1014" spans="1:21" x14ac:dyDescent="0.3">
      <c r="A1014" t="str">
        <f>"940026560"</f>
        <v>940026560</v>
      </c>
      <c r="B1014" t="str">
        <f>"882 979 586 00014"</f>
        <v>882 979 586 00014</v>
      </c>
      <c r="D1014" t="str">
        <f>"CDS MEDICO DENTAIRE JOINVILLE"</f>
        <v>CDS MEDICO DENTAIRE JOINVILLE</v>
      </c>
      <c r="E1014" t="str">
        <f>"7-9"</f>
        <v>7-9</v>
      </c>
      <c r="F1014" t="str">
        <f>"7 RUE JEAN MERMOZ"</f>
        <v>7 RUE JEAN MERMOZ</v>
      </c>
      <c r="H1014" t="str">
        <f>"94340"</f>
        <v>94340</v>
      </c>
      <c r="I1014" t="str">
        <f>"JOINVILLE LE PONT"</f>
        <v>JOINVILLE LE PONT</v>
      </c>
      <c r="L1014" s="1">
        <v>44041</v>
      </c>
      <c r="M1014" t="str">
        <f t="shared" si="164"/>
        <v>124</v>
      </c>
      <c r="N1014" t="str">
        <f t="shared" si="165"/>
        <v>Centre de Santé</v>
      </c>
      <c r="O1014" t="str">
        <f t="shared" si="170"/>
        <v>60</v>
      </c>
      <c r="P1014" t="str">
        <f t="shared" si="171"/>
        <v>Association Loi 1901 non Reconnue d'Utilité Publique</v>
      </c>
      <c r="Q1014" t="str">
        <f t="shared" si="168"/>
        <v>36</v>
      </c>
      <c r="R1014" t="str">
        <f t="shared" si="169"/>
        <v>Tarifs conventionnels assurance maladie</v>
      </c>
      <c r="U1014" t="str">
        <f>"940026552"</f>
        <v>940026552</v>
      </c>
    </row>
    <row r="1015" spans="1:21" x14ac:dyDescent="0.3">
      <c r="A1015" t="str">
        <f>"940026602"</f>
        <v>940026602</v>
      </c>
      <c r="B1015" t="str">
        <f>"882 774 037 00015"</f>
        <v>882 774 037 00015</v>
      </c>
      <c r="D1015" t="str">
        <f>"CDS MEDICO DENTAIRE ALFORTVILLE"</f>
        <v>CDS MEDICO DENTAIRE ALFORTVILLE</v>
      </c>
      <c r="F1015" t="str">
        <f>"91 RUE PAUL VAILLANT COUTURIER"</f>
        <v>91 RUE PAUL VAILLANT COUTURIER</v>
      </c>
      <c r="H1015" t="str">
        <f>"94140"</f>
        <v>94140</v>
      </c>
      <c r="I1015" t="str">
        <f>"ALFORTVILLE"</f>
        <v>ALFORTVILLE</v>
      </c>
      <c r="L1015" s="1">
        <v>44041</v>
      </c>
      <c r="M1015" t="str">
        <f t="shared" si="164"/>
        <v>124</v>
      </c>
      <c r="N1015" t="str">
        <f t="shared" si="165"/>
        <v>Centre de Santé</v>
      </c>
      <c r="O1015" t="str">
        <f t="shared" si="170"/>
        <v>60</v>
      </c>
      <c r="P1015" t="str">
        <f t="shared" si="171"/>
        <v>Association Loi 1901 non Reconnue d'Utilité Publique</v>
      </c>
      <c r="Q1015" t="str">
        <f t="shared" si="168"/>
        <v>36</v>
      </c>
      <c r="R1015" t="str">
        <f t="shared" si="169"/>
        <v>Tarifs conventionnels assurance maladie</v>
      </c>
      <c r="U1015" t="str">
        <f>"940026594"</f>
        <v>940026594</v>
      </c>
    </row>
    <row r="1016" spans="1:21" x14ac:dyDescent="0.3">
      <c r="A1016" t="str">
        <f>"940026628"</f>
        <v>940026628</v>
      </c>
      <c r="B1016" t="str">
        <f>"883 482 267 00019"</f>
        <v>883 482 267 00019</v>
      </c>
      <c r="D1016" t="str">
        <f>"CDS OPHTALMOLOGIQUE ET MEDICAL"</f>
        <v>CDS OPHTALMOLOGIQUE ET MEDICAL</v>
      </c>
      <c r="F1016" t="str">
        <f>"AVENUE DE LA FRANCE LIBRE"</f>
        <v>AVENUE DE LA FRANCE LIBRE</v>
      </c>
      <c r="G1016" t="str">
        <f>"CCIAL REGIONAL CRETEIL SOLEIL"</f>
        <v>CCIAL REGIONAL CRETEIL SOLEIL</v>
      </c>
      <c r="H1016" t="str">
        <f>"94000"</f>
        <v>94000</v>
      </c>
      <c r="I1016" t="str">
        <f>"CRETEIL"</f>
        <v>CRETEIL</v>
      </c>
      <c r="L1016" s="1">
        <v>44041</v>
      </c>
      <c r="M1016" t="str">
        <f t="shared" si="164"/>
        <v>124</v>
      </c>
      <c r="N1016" t="str">
        <f t="shared" si="165"/>
        <v>Centre de Santé</v>
      </c>
      <c r="O1016" t="str">
        <f t="shared" si="170"/>
        <v>60</v>
      </c>
      <c r="P1016" t="str">
        <f t="shared" si="171"/>
        <v>Association Loi 1901 non Reconnue d'Utilité Publique</v>
      </c>
      <c r="Q1016" t="str">
        <f t="shared" si="168"/>
        <v>36</v>
      </c>
      <c r="R1016" t="str">
        <f t="shared" si="169"/>
        <v>Tarifs conventionnels assurance maladie</v>
      </c>
      <c r="U1016" t="str">
        <f>"940026610"</f>
        <v>940026610</v>
      </c>
    </row>
    <row r="1017" spans="1:21" x14ac:dyDescent="0.3">
      <c r="A1017" t="str">
        <f>"950045237"</f>
        <v>950045237</v>
      </c>
      <c r="B1017" t="str">
        <f>"881 899 942 00018"</f>
        <v>881 899 942 00018</v>
      </c>
      <c r="D1017" t="str">
        <f>"CDS DENTAIRE 3F CERGY"</f>
        <v>CDS DENTAIRE 3F CERGY</v>
      </c>
      <c r="F1017" t="str">
        <f>"AVENUE DES TROIS FONTAINES"</f>
        <v>AVENUE DES TROIS FONTAINES</v>
      </c>
      <c r="H1017" t="str">
        <f>"95000"</f>
        <v>95000</v>
      </c>
      <c r="I1017" t="str">
        <f>"CERGY"</f>
        <v>CERGY</v>
      </c>
      <c r="L1017" s="1">
        <v>44041</v>
      </c>
      <c r="M1017" t="str">
        <f t="shared" si="164"/>
        <v>124</v>
      </c>
      <c r="N1017" t="str">
        <f t="shared" si="165"/>
        <v>Centre de Santé</v>
      </c>
      <c r="O1017" t="str">
        <f t="shared" si="170"/>
        <v>60</v>
      </c>
      <c r="P1017" t="str">
        <f t="shared" si="171"/>
        <v>Association Loi 1901 non Reconnue d'Utilité Publique</v>
      </c>
      <c r="Q1017" t="str">
        <f t="shared" si="168"/>
        <v>36</v>
      </c>
      <c r="R1017" t="str">
        <f t="shared" si="169"/>
        <v>Tarifs conventionnels assurance maladie</v>
      </c>
      <c r="U1017" t="str">
        <f>"950045229"</f>
        <v>950045229</v>
      </c>
    </row>
    <row r="1018" spans="1:21" x14ac:dyDescent="0.3">
      <c r="A1018" t="str">
        <f>"950045252"</f>
        <v>950045252</v>
      </c>
      <c r="B1018" t="str">
        <f>"883 905 150 00024"</f>
        <v>883 905 150 00024</v>
      </c>
      <c r="D1018" t="str">
        <f>"CDS DENTAIRE SANNOIS"</f>
        <v>CDS DENTAIRE SANNOIS</v>
      </c>
      <c r="E1018" t="str">
        <f>"11-13"</f>
        <v>11-13</v>
      </c>
      <c r="F1018" t="str">
        <f>"11 AVENUE DE LA SABERNAUDE"</f>
        <v>11 AVENUE DE LA SABERNAUDE</v>
      </c>
      <c r="H1018" t="str">
        <f>"95110"</f>
        <v>95110</v>
      </c>
      <c r="I1018" t="str">
        <f>"SANNOIS"</f>
        <v>SANNOIS</v>
      </c>
      <c r="J1018" t="str">
        <f>"06 28 27 22 83 "</f>
        <v xml:space="preserve">06 28 27 22 83 </v>
      </c>
      <c r="L1018" s="1">
        <v>44041</v>
      </c>
      <c r="M1018" t="str">
        <f t="shared" si="164"/>
        <v>124</v>
      </c>
      <c r="N1018" t="str">
        <f t="shared" si="165"/>
        <v>Centre de Santé</v>
      </c>
      <c r="O1018" t="str">
        <f t="shared" si="170"/>
        <v>60</v>
      </c>
      <c r="P1018" t="str">
        <f t="shared" si="171"/>
        <v>Association Loi 1901 non Reconnue d'Utilité Publique</v>
      </c>
      <c r="Q1018" t="str">
        <f t="shared" si="168"/>
        <v>36</v>
      </c>
      <c r="R1018" t="str">
        <f t="shared" si="169"/>
        <v>Tarifs conventionnels assurance maladie</v>
      </c>
      <c r="U1018" t="str">
        <f>"950047191"</f>
        <v>950047191</v>
      </c>
    </row>
    <row r="1019" spans="1:21" x14ac:dyDescent="0.3">
      <c r="A1019" t="str">
        <f>"840020945"</f>
        <v>840020945</v>
      </c>
      <c r="B1019" t="str">
        <f>"853 828 598 00013"</f>
        <v>853 828 598 00013</v>
      </c>
      <c r="D1019" t="str">
        <f>"CDS MEDICO-DENTAIRE CLINADENT"</f>
        <v>CDS MEDICO-DENTAIRE CLINADENT</v>
      </c>
      <c r="F1019" t="str">
        <f>"44 BOULEVARD SAINT MICHEL"</f>
        <v>44 BOULEVARD SAINT MICHEL</v>
      </c>
      <c r="H1019" t="str">
        <f>"84000"</f>
        <v>84000</v>
      </c>
      <c r="I1019" t="str">
        <f>"AVIGNON"</f>
        <v>AVIGNON</v>
      </c>
      <c r="J1019" t="str">
        <f>"06 13 13 76 84 "</f>
        <v xml:space="preserve">06 13 13 76 84 </v>
      </c>
      <c r="L1019" s="1">
        <v>44040</v>
      </c>
      <c r="M1019" t="str">
        <f t="shared" si="164"/>
        <v>124</v>
      </c>
      <c r="N1019" t="str">
        <f t="shared" si="165"/>
        <v>Centre de Santé</v>
      </c>
      <c r="O1019" t="str">
        <f>"61"</f>
        <v>61</v>
      </c>
      <c r="P1019" t="str">
        <f>"Association Loi 1901 Reconnue d'Utilité Publique"</f>
        <v>Association Loi 1901 Reconnue d'Utilité Publique</v>
      </c>
      <c r="Q1019" t="str">
        <f t="shared" si="168"/>
        <v>36</v>
      </c>
      <c r="R1019" t="str">
        <f t="shared" si="169"/>
        <v>Tarifs conventionnels assurance maladie</v>
      </c>
      <c r="U1019" t="str">
        <f>"840020937"</f>
        <v>840020937</v>
      </c>
    </row>
    <row r="1020" spans="1:21" x14ac:dyDescent="0.3">
      <c r="A1020" t="str">
        <f>"340028299"</f>
        <v>340028299</v>
      </c>
      <c r="B1020" t="str">
        <f>"879 998 912 00015"</f>
        <v>879 998 912 00015</v>
      </c>
      <c r="D1020" t="str">
        <f>"CENTRE DE SANTE DENTAIRE NEW DENTAL"</f>
        <v>CENTRE DE SANTE DENTAIRE NEW DENTAL</v>
      </c>
      <c r="F1020" t="str">
        <f>"21 RUE DU CARDINAL"</f>
        <v>21 RUE DU CARDINAL</v>
      </c>
      <c r="H1020" t="str">
        <f>"34800"</f>
        <v>34800</v>
      </c>
      <c r="I1020" t="str">
        <f>"CLERMONT L HERAULT"</f>
        <v>CLERMONT L HERAULT</v>
      </c>
      <c r="L1020" s="1">
        <v>44039</v>
      </c>
      <c r="M1020" t="str">
        <f t="shared" si="164"/>
        <v>124</v>
      </c>
      <c r="N1020" t="str">
        <f t="shared" si="165"/>
        <v>Centre de Santé</v>
      </c>
      <c r="O1020" t="str">
        <f>"60"</f>
        <v>60</v>
      </c>
      <c r="P1020" t="str">
        <f>"Association Loi 1901 non Reconnue d'Utilité Publique"</f>
        <v>Association Loi 1901 non Reconnue d'Utilité Publique</v>
      </c>
      <c r="Q1020" t="str">
        <f t="shared" si="168"/>
        <v>36</v>
      </c>
      <c r="R1020" t="str">
        <f t="shared" si="169"/>
        <v>Tarifs conventionnels assurance maladie</v>
      </c>
      <c r="U1020" t="str">
        <f>"340028281"</f>
        <v>340028281</v>
      </c>
    </row>
    <row r="1021" spans="1:21" x14ac:dyDescent="0.3">
      <c r="A1021" t="str">
        <f>"060029881"</f>
        <v>060029881</v>
      </c>
      <c r="B1021" t="str">
        <f>"848 823 654 00019"</f>
        <v>848 823 654 00019</v>
      </c>
      <c r="D1021" t="str">
        <f>"ASSOCIATION CDS GRIMALDI"</f>
        <v>ASSOCIATION CDS GRIMALDI</v>
      </c>
      <c r="F1021" t="str">
        <f>"19 RUE MARECHAL JOFFRE"</f>
        <v>19 RUE MARECHAL JOFFRE</v>
      </c>
      <c r="H1021" t="str">
        <f>"06000"</f>
        <v>06000</v>
      </c>
      <c r="I1021" t="str">
        <f>"NICE"</f>
        <v>NICE</v>
      </c>
      <c r="J1021" t="str">
        <f>"04 22 70 01 95 "</f>
        <v xml:space="preserve">04 22 70 01 95 </v>
      </c>
      <c r="L1021" s="1">
        <v>44036</v>
      </c>
      <c r="M1021" t="str">
        <f t="shared" si="164"/>
        <v>124</v>
      </c>
      <c r="N1021" t="str">
        <f t="shared" si="165"/>
        <v>Centre de Santé</v>
      </c>
      <c r="O1021" t="str">
        <f>"61"</f>
        <v>61</v>
      </c>
      <c r="P1021" t="str">
        <f>"Association Loi 1901 Reconnue d'Utilité Publique"</f>
        <v>Association Loi 1901 Reconnue d'Utilité Publique</v>
      </c>
      <c r="Q1021" t="str">
        <f t="shared" si="168"/>
        <v>36</v>
      </c>
      <c r="R1021" t="str">
        <f t="shared" si="169"/>
        <v>Tarifs conventionnels assurance maladie</v>
      </c>
      <c r="U1021" t="str">
        <f>"060029873"</f>
        <v>060029873</v>
      </c>
    </row>
    <row r="1022" spans="1:21" x14ac:dyDescent="0.3">
      <c r="A1022" t="str">
        <f>"070008180"</f>
        <v>070008180</v>
      </c>
      <c r="B1022" t="str">
        <f>"779 471 986 01049"</f>
        <v>779 471 986 01049</v>
      </c>
      <c r="D1022" t="str">
        <f>"CENTRE DE SANTE DENTAIRE AUBENAS"</f>
        <v>CENTRE DE SANTE DENTAIRE AUBENAS</v>
      </c>
      <c r="E1022" t="str">
        <f>"PORTE 2"</f>
        <v>PORTE 2</v>
      </c>
      <c r="F1022" t="str">
        <f>"3 RUE DE LA POURETTE"</f>
        <v>3 RUE DE LA POURETTE</v>
      </c>
      <c r="H1022" t="str">
        <f>"07200"</f>
        <v>07200</v>
      </c>
      <c r="I1022" t="str">
        <f>"AUBENAS"</f>
        <v>AUBENAS</v>
      </c>
      <c r="J1022" t="str">
        <f>"04 75 89 44 10 "</f>
        <v xml:space="preserve">04 75 89 44 10 </v>
      </c>
      <c r="L1022" s="1">
        <v>44035</v>
      </c>
      <c r="M1022" t="str">
        <f t="shared" si="164"/>
        <v>124</v>
      </c>
      <c r="N1022" t="str">
        <f t="shared" si="165"/>
        <v>Centre de Santé</v>
      </c>
      <c r="O1022" t="str">
        <f>"47"</f>
        <v>47</v>
      </c>
      <c r="P1022" t="str">
        <f>"Société Mutualiste"</f>
        <v>Société Mutualiste</v>
      </c>
      <c r="Q1022" t="str">
        <f t="shared" si="168"/>
        <v>36</v>
      </c>
      <c r="R1022" t="str">
        <f t="shared" si="169"/>
        <v>Tarifs conventionnels assurance maladie</v>
      </c>
      <c r="U1022" t="str">
        <f>"260007018"</f>
        <v>260007018</v>
      </c>
    </row>
    <row r="1023" spans="1:21" x14ac:dyDescent="0.3">
      <c r="A1023" t="str">
        <f>"350054573"</f>
        <v>350054573</v>
      </c>
      <c r="B1023" t="str">
        <f>"879 028 546 00015"</f>
        <v>879 028 546 00015</v>
      </c>
      <c r="D1023" t="str">
        <f>"CDS DENTAIRE RENNES"</f>
        <v>CDS DENTAIRE RENNES</v>
      </c>
      <c r="F1023" t="str">
        <f>"20 RUE D'ISLY"</f>
        <v>20 RUE D'ISLY</v>
      </c>
      <c r="H1023" t="str">
        <f>"35000"</f>
        <v>35000</v>
      </c>
      <c r="I1023" t="str">
        <f>"RENNES"</f>
        <v>RENNES</v>
      </c>
      <c r="L1023" s="1">
        <v>44035</v>
      </c>
      <c r="M1023" t="str">
        <f t="shared" si="164"/>
        <v>124</v>
      </c>
      <c r="N1023" t="str">
        <f t="shared" si="165"/>
        <v>Centre de Santé</v>
      </c>
      <c r="O1023" t="str">
        <f>"60"</f>
        <v>60</v>
      </c>
      <c r="P1023" t="str">
        <f>"Association Loi 1901 non Reconnue d'Utilité Publique"</f>
        <v>Association Loi 1901 non Reconnue d'Utilité Publique</v>
      </c>
      <c r="Q1023" t="str">
        <f t="shared" si="168"/>
        <v>36</v>
      </c>
      <c r="R1023" t="str">
        <f t="shared" si="169"/>
        <v>Tarifs conventionnels assurance maladie</v>
      </c>
      <c r="U1023" t="str">
        <f>"350054565"</f>
        <v>350054565</v>
      </c>
    </row>
    <row r="1024" spans="1:21" x14ac:dyDescent="0.3">
      <c r="A1024" t="str">
        <f>"310031984"</f>
        <v>310031984</v>
      </c>
      <c r="B1024" t="str">
        <f>"879 683 779 00018"</f>
        <v>879 683 779 00018</v>
      </c>
      <c r="D1024" t="str">
        <f>"CENTRE DE SANTE DENTAIRE LABEGE"</f>
        <v>CENTRE DE SANTE DENTAIRE LABEGE</v>
      </c>
      <c r="F1024" t="str">
        <f>"1 RUE GALILEE"</f>
        <v>1 RUE GALILEE</v>
      </c>
      <c r="H1024" t="str">
        <f>"31670"</f>
        <v>31670</v>
      </c>
      <c r="I1024" t="str">
        <f>"LABEGE"</f>
        <v>LABEGE</v>
      </c>
      <c r="L1024" s="1">
        <v>44032</v>
      </c>
      <c r="M1024" t="str">
        <f t="shared" si="164"/>
        <v>124</v>
      </c>
      <c r="N1024" t="str">
        <f t="shared" si="165"/>
        <v>Centre de Santé</v>
      </c>
      <c r="O1024" t="str">
        <f>"60"</f>
        <v>60</v>
      </c>
      <c r="P1024" t="str">
        <f>"Association Loi 1901 non Reconnue d'Utilité Publique"</f>
        <v>Association Loi 1901 non Reconnue d'Utilité Publique</v>
      </c>
      <c r="Q1024" t="str">
        <f t="shared" si="168"/>
        <v>36</v>
      </c>
      <c r="R1024" t="str">
        <f t="shared" si="169"/>
        <v>Tarifs conventionnels assurance maladie</v>
      </c>
      <c r="U1024" t="str">
        <f>"310031976"</f>
        <v>310031976</v>
      </c>
    </row>
    <row r="1025" spans="1:21" x14ac:dyDescent="0.3">
      <c r="A1025" t="str">
        <f>"600015358"</f>
        <v>600015358</v>
      </c>
      <c r="B1025" t="str">
        <f>"887 680 734 00027"</f>
        <v>887 680 734 00027</v>
      </c>
      <c r="D1025" t="str">
        <f>"ASSOCIATION MEDICO DENTAIRE"</f>
        <v>ASSOCIATION MEDICO DENTAIRE</v>
      </c>
      <c r="F1025" t="str">
        <f>"6 RUE DU CHÂTEL"</f>
        <v>6 RUE DU CHÂTEL</v>
      </c>
      <c r="H1025" t="str">
        <f>"60300"</f>
        <v>60300</v>
      </c>
      <c r="I1025" t="str">
        <f>"SENLIS"</f>
        <v>SENLIS</v>
      </c>
      <c r="J1025" t="str">
        <f>"03 44 53 75 66 "</f>
        <v xml:space="preserve">03 44 53 75 66 </v>
      </c>
      <c r="L1025" s="1">
        <v>44032</v>
      </c>
      <c r="M1025" t="str">
        <f t="shared" si="164"/>
        <v>124</v>
      </c>
      <c r="N1025" t="str">
        <f t="shared" si="165"/>
        <v>Centre de Santé</v>
      </c>
      <c r="O1025" t="str">
        <f>"61"</f>
        <v>61</v>
      </c>
      <c r="P1025" t="str">
        <f>"Association Loi 1901 Reconnue d'Utilité Publique"</f>
        <v>Association Loi 1901 Reconnue d'Utilité Publique</v>
      </c>
      <c r="Q1025" t="str">
        <f t="shared" si="168"/>
        <v>36</v>
      </c>
      <c r="R1025" t="str">
        <f t="shared" si="169"/>
        <v>Tarifs conventionnels assurance maladie</v>
      </c>
      <c r="U1025" t="str">
        <f>"600015341"</f>
        <v>600015341</v>
      </c>
    </row>
    <row r="1026" spans="1:21" x14ac:dyDescent="0.3">
      <c r="A1026" t="str">
        <f>"260021670"</f>
        <v>260021670</v>
      </c>
      <c r="D1026" t="str">
        <f>"CENTRE DE SANTE VALENCE LE HAUT"</f>
        <v>CENTRE DE SANTE VALENCE LE HAUT</v>
      </c>
      <c r="F1026" t="str">
        <f>"9004 CHEMIN GASTON REYNAUD"</f>
        <v>9004 CHEMIN GASTON REYNAUD</v>
      </c>
      <c r="H1026" t="str">
        <f>"26000"</f>
        <v>26000</v>
      </c>
      <c r="I1026" t="str">
        <f>"VALENCE"</f>
        <v>VALENCE</v>
      </c>
      <c r="L1026" s="1">
        <v>44028</v>
      </c>
      <c r="M1026" t="str">
        <f t="shared" ref="M1026:M1089" si="172">"124"</f>
        <v>124</v>
      </c>
      <c r="N1026" t="str">
        <f t="shared" ref="N1026:N1089" si="173">"Centre de Santé"</f>
        <v>Centre de Santé</v>
      </c>
      <c r="O1026" t="str">
        <f>"60"</f>
        <v>60</v>
      </c>
      <c r="P1026" t="str">
        <f>"Association Loi 1901 non Reconnue d'Utilité Publique"</f>
        <v>Association Loi 1901 non Reconnue d'Utilité Publique</v>
      </c>
      <c r="Q1026" t="str">
        <f t="shared" si="168"/>
        <v>36</v>
      </c>
      <c r="R1026" t="str">
        <f t="shared" si="169"/>
        <v>Tarifs conventionnels assurance maladie</v>
      </c>
      <c r="U1026" t="str">
        <f>"260011176"</f>
        <v>260011176</v>
      </c>
    </row>
    <row r="1027" spans="1:21" x14ac:dyDescent="0.3">
      <c r="A1027" t="str">
        <f>"270029689"</f>
        <v>270029689</v>
      </c>
      <c r="B1027" t="str">
        <f>"879 036 531 00017"</f>
        <v>879 036 531 00017</v>
      </c>
      <c r="D1027" t="str">
        <f>"CENTRE DE SANTE SANTOS DUMONT"</f>
        <v>CENTRE DE SANTE SANTOS DUMONT</v>
      </c>
      <c r="F1027" t="str">
        <f>"RUE ALBERTO SANTOS DUMONT"</f>
        <v>RUE ALBERTO SANTOS DUMONT</v>
      </c>
      <c r="H1027" t="str">
        <f>"27930"</f>
        <v>27930</v>
      </c>
      <c r="I1027" t="str">
        <f>"GUICHAINVILLE"</f>
        <v>GUICHAINVILLE</v>
      </c>
      <c r="J1027" t="str">
        <f>"02 32 28 11 08 "</f>
        <v xml:space="preserve">02 32 28 11 08 </v>
      </c>
      <c r="L1027" s="1">
        <v>44028</v>
      </c>
      <c r="M1027" t="str">
        <f t="shared" si="172"/>
        <v>124</v>
      </c>
      <c r="N1027" t="str">
        <f t="shared" si="173"/>
        <v>Centre de Santé</v>
      </c>
      <c r="O1027" t="str">
        <f>"60"</f>
        <v>60</v>
      </c>
      <c r="P1027" t="str">
        <f>"Association Loi 1901 non Reconnue d'Utilité Publique"</f>
        <v>Association Loi 1901 non Reconnue d'Utilité Publique</v>
      </c>
      <c r="Q1027" t="str">
        <f t="shared" si="168"/>
        <v>36</v>
      </c>
      <c r="R1027" t="str">
        <f t="shared" si="169"/>
        <v>Tarifs conventionnels assurance maladie</v>
      </c>
      <c r="U1027" t="str">
        <f>"270029671"</f>
        <v>270029671</v>
      </c>
    </row>
    <row r="1028" spans="1:21" x14ac:dyDescent="0.3">
      <c r="A1028" t="str">
        <f>"670020197"</f>
        <v>670020197</v>
      </c>
      <c r="B1028" t="str">
        <f>"442 991 964 00010"</f>
        <v>442 991 964 00010</v>
      </c>
      <c r="D1028" t="str">
        <f>"CSI PERSONNES AGEES SERVICES STOTZHEIM"</f>
        <v>CSI PERSONNES AGEES SERVICES STOTZHEIM</v>
      </c>
      <c r="F1028" t="str">
        <f>"17 RUE DES LILAS"</f>
        <v>17 RUE DES LILAS</v>
      </c>
      <c r="H1028" t="str">
        <f>"67140"</f>
        <v>67140</v>
      </c>
      <c r="I1028" t="str">
        <f>"STOTZHEIM"</f>
        <v>STOTZHEIM</v>
      </c>
      <c r="J1028" t="str">
        <f>"03 88 08 09 08 "</f>
        <v xml:space="preserve">03 88 08 09 08 </v>
      </c>
      <c r="L1028" s="1">
        <v>44027</v>
      </c>
      <c r="M1028" t="str">
        <f t="shared" si="172"/>
        <v>124</v>
      </c>
      <c r="N1028" t="str">
        <f t="shared" si="173"/>
        <v>Centre de Santé</v>
      </c>
      <c r="O1028" t="str">
        <f>"62"</f>
        <v>62</v>
      </c>
      <c r="P1028" t="str">
        <f>"Association de Droit Local"</f>
        <v>Association de Droit Local</v>
      </c>
      <c r="Q1028" t="str">
        <f t="shared" si="168"/>
        <v>36</v>
      </c>
      <c r="R1028" t="str">
        <f t="shared" si="169"/>
        <v>Tarifs conventionnels assurance maladie</v>
      </c>
      <c r="U1028" t="str">
        <f>"670019355"</f>
        <v>670019355</v>
      </c>
    </row>
    <row r="1029" spans="1:21" x14ac:dyDescent="0.3">
      <c r="A1029" t="str">
        <f>"690048517"</f>
        <v>690048517</v>
      </c>
      <c r="B1029" t="str">
        <f>"880 393 590 00026"</f>
        <v>880 393 590 00026</v>
      </c>
      <c r="D1029" t="str">
        <f>"CENTRE DE SANTE MEGAVISION"</f>
        <v>CENTRE DE SANTE MEGAVISION</v>
      </c>
      <c r="F1029" t="str">
        <f>"15 RUE DES CHARMETTES"</f>
        <v>15 RUE DES CHARMETTES</v>
      </c>
      <c r="H1029" t="str">
        <f>"69100"</f>
        <v>69100</v>
      </c>
      <c r="I1029" t="str">
        <f>"VILLEURBANNE"</f>
        <v>VILLEURBANNE</v>
      </c>
      <c r="J1029" t="str">
        <f>"06 98 60 27 10 "</f>
        <v xml:space="preserve">06 98 60 27 10 </v>
      </c>
      <c r="L1029" s="1">
        <v>44027</v>
      </c>
      <c r="M1029" t="str">
        <f t="shared" si="172"/>
        <v>124</v>
      </c>
      <c r="N1029" t="str">
        <f t="shared" si="173"/>
        <v>Centre de Santé</v>
      </c>
      <c r="O1029" t="str">
        <f>"60"</f>
        <v>60</v>
      </c>
      <c r="P1029" t="str">
        <f>"Association Loi 1901 non Reconnue d'Utilité Publique"</f>
        <v>Association Loi 1901 non Reconnue d'Utilité Publique</v>
      </c>
      <c r="Q1029" t="str">
        <f t="shared" si="168"/>
        <v>36</v>
      </c>
      <c r="R1029" t="str">
        <f t="shared" si="169"/>
        <v>Tarifs conventionnels assurance maladie</v>
      </c>
      <c r="U1029" t="str">
        <f>"950045070"</f>
        <v>950045070</v>
      </c>
    </row>
    <row r="1030" spans="1:21" x14ac:dyDescent="0.3">
      <c r="A1030" t="str">
        <f>"500024807"</f>
        <v>500024807</v>
      </c>
      <c r="B1030" t="str">
        <f>"882 973 183 00016"</f>
        <v>882 973 183 00016</v>
      </c>
      <c r="D1030" t="str">
        <f>"ADN SANTE MANCHE"</f>
        <v>ADN SANTE MANCHE</v>
      </c>
      <c r="F1030" t="str">
        <f>"68 RUE COURAYE"</f>
        <v>68 RUE COURAYE</v>
      </c>
      <c r="H1030" t="str">
        <f>"50400"</f>
        <v>50400</v>
      </c>
      <c r="I1030" t="str">
        <f>"GRANVILLE"</f>
        <v>GRANVILLE</v>
      </c>
      <c r="J1030" t="str">
        <f>"06 14 21 28 57 "</f>
        <v xml:space="preserve">06 14 21 28 57 </v>
      </c>
      <c r="L1030" s="1">
        <v>44025</v>
      </c>
      <c r="M1030" t="str">
        <f t="shared" si="172"/>
        <v>124</v>
      </c>
      <c r="N1030" t="str">
        <f t="shared" si="173"/>
        <v>Centre de Santé</v>
      </c>
      <c r="O1030" t="str">
        <f>"60"</f>
        <v>60</v>
      </c>
      <c r="P1030" t="str">
        <f>"Association Loi 1901 non Reconnue d'Utilité Publique"</f>
        <v>Association Loi 1901 non Reconnue d'Utilité Publique</v>
      </c>
      <c r="Q1030" t="str">
        <f t="shared" si="168"/>
        <v>36</v>
      </c>
      <c r="R1030" t="str">
        <f t="shared" si="169"/>
        <v>Tarifs conventionnels assurance maladie</v>
      </c>
      <c r="U1030" t="str">
        <f>"500024799"</f>
        <v>500024799</v>
      </c>
    </row>
    <row r="1031" spans="1:21" x14ac:dyDescent="0.3">
      <c r="A1031" t="str">
        <f>"970115143"</f>
        <v>970115143</v>
      </c>
      <c r="B1031" t="str">
        <f>"882 833 387 00013"</f>
        <v>882 833 387 00013</v>
      </c>
      <c r="D1031" t="str">
        <f>"CENTRE DE SANTE HYGIDENT"</f>
        <v>CENTRE DE SANTE HYGIDENT</v>
      </c>
      <c r="E1031" t="str">
        <f>"IMMEUBLE KARUKERALI"</f>
        <v>IMMEUBLE KARUKERALI</v>
      </c>
      <c r="F1031" t="str">
        <f>"ZONE COLIN"</f>
        <v>ZONE COLIN</v>
      </c>
      <c r="H1031" t="str">
        <f>"97170"</f>
        <v>97170</v>
      </c>
      <c r="I1031" t="str">
        <f>"PETIT BOURG"</f>
        <v>PETIT BOURG</v>
      </c>
      <c r="J1031" t="str">
        <f>"06 96 28 03 28 "</f>
        <v xml:space="preserve">06 96 28 03 28 </v>
      </c>
      <c r="L1031" s="1">
        <v>44025</v>
      </c>
      <c r="M1031" t="str">
        <f t="shared" si="172"/>
        <v>124</v>
      </c>
      <c r="N1031" t="str">
        <f t="shared" si="173"/>
        <v>Centre de Santé</v>
      </c>
      <c r="O1031" t="str">
        <f>"61"</f>
        <v>61</v>
      </c>
      <c r="P1031" t="str">
        <f>"Association Loi 1901 Reconnue d'Utilité Publique"</f>
        <v>Association Loi 1901 Reconnue d'Utilité Publique</v>
      </c>
      <c r="Q1031" t="str">
        <f t="shared" si="168"/>
        <v>36</v>
      </c>
      <c r="R1031" t="str">
        <f t="shared" si="169"/>
        <v>Tarifs conventionnels assurance maladie</v>
      </c>
      <c r="U1031" t="str">
        <f>"970115135"</f>
        <v>970115135</v>
      </c>
    </row>
    <row r="1032" spans="1:21" x14ac:dyDescent="0.3">
      <c r="A1032" t="str">
        <f>"970115168"</f>
        <v>970115168</v>
      </c>
      <c r="B1032" t="str">
        <f>"851 935 924 00015"</f>
        <v>851 935 924 00015</v>
      </c>
      <c r="D1032" t="str">
        <f>"CENTRE DE SANTE HYGIVISION"</f>
        <v>CENTRE DE SANTE HYGIVISION</v>
      </c>
      <c r="E1032" t="str">
        <f>"IMMEUBLE LE REFLET"</f>
        <v>IMMEUBLE LE REFLET</v>
      </c>
      <c r="F1032" t="str">
        <f>"ZONE D'AMENAGEMENT CONCERTE LA LEZARDE"</f>
        <v>ZONE D'AMENAGEMENT CONCERTE LA LEZARDE</v>
      </c>
      <c r="H1032" t="str">
        <f>"97170"</f>
        <v>97170</v>
      </c>
      <c r="I1032" t="str">
        <f>"PETIT BOURG"</f>
        <v>PETIT BOURG</v>
      </c>
      <c r="J1032" t="str">
        <f>"06 96 80 43 53 "</f>
        <v xml:space="preserve">06 96 80 43 53 </v>
      </c>
      <c r="L1032" s="1">
        <v>44025</v>
      </c>
      <c r="M1032" t="str">
        <f t="shared" si="172"/>
        <v>124</v>
      </c>
      <c r="N1032" t="str">
        <f t="shared" si="173"/>
        <v>Centre de Santé</v>
      </c>
      <c r="O1032" t="str">
        <f>"61"</f>
        <v>61</v>
      </c>
      <c r="P1032" t="str">
        <f>"Association Loi 1901 Reconnue d'Utilité Publique"</f>
        <v>Association Loi 1901 Reconnue d'Utilité Publique</v>
      </c>
      <c r="Q1032" t="str">
        <f t="shared" si="168"/>
        <v>36</v>
      </c>
      <c r="R1032" t="str">
        <f t="shared" si="169"/>
        <v>Tarifs conventionnels assurance maladie</v>
      </c>
      <c r="U1032" t="str">
        <f>"970115150"</f>
        <v>970115150</v>
      </c>
    </row>
    <row r="1033" spans="1:21" x14ac:dyDescent="0.3">
      <c r="A1033" t="str">
        <f>"450021498"</f>
        <v>450021498</v>
      </c>
      <c r="B1033" t="str">
        <f>"844 897 496 00015"</f>
        <v>844 897 496 00015</v>
      </c>
      <c r="D1033" t="str">
        <f>"CENTRE DE SANTE DENTAIRE 3D MONTARGIS"</f>
        <v>CENTRE DE SANTE DENTAIRE 3D MONTARGIS</v>
      </c>
      <c r="F1033" t="str">
        <f>"35 BOULEVARD DU CHINCHON"</f>
        <v>35 BOULEVARD DU CHINCHON</v>
      </c>
      <c r="H1033" t="str">
        <f>"45200"</f>
        <v>45200</v>
      </c>
      <c r="I1033" t="str">
        <f>"MONTARGIS"</f>
        <v>MONTARGIS</v>
      </c>
      <c r="J1033" t="str">
        <f>"06 38 68 33 57 "</f>
        <v xml:space="preserve">06 38 68 33 57 </v>
      </c>
      <c r="L1033" s="1">
        <v>44020</v>
      </c>
      <c r="M1033" t="str">
        <f t="shared" si="172"/>
        <v>124</v>
      </c>
      <c r="N1033" t="str">
        <f t="shared" si="173"/>
        <v>Centre de Santé</v>
      </c>
      <c r="O1033" t="str">
        <f>"60"</f>
        <v>60</v>
      </c>
      <c r="P1033" t="str">
        <f>"Association Loi 1901 non Reconnue d'Utilité Publique"</f>
        <v>Association Loi 1901 non Reconnue d'Utilité Publique</v>
      </c>
      <c r="Q1033" t="str">
        <f>"99"</f>
        <v>99</v>
      </c>
      <c r="R1033" t="str">
        <f>"Indéterminé"</f>
        <v>Indéterminé</v>
      </c>
      <c r="U1033" t="str">
        <f>"450021480"</f>
        <v>450021480</v>
      </c>
    </row>
    <row r="1034" spans="1:21" x14ac:dyDescent="0.3">
      <c r="A1034" t="str">
        <f>"140033002"</f>
        <v>140033002</v>
      </c>
      <c r="B1034" t="str">
        <f>"879 091 650 00025"</f>
        <v>879 091 650 00025</v>
      </c>
      <c r="D1034" t="str">
        <f>"CENTRE DENTAIRE DE BAYEUX"</f>
        <v>CENTRE DENTAIRE DE BAYEUX</v>
      </c>
      <c r="F1034" t="str">
        <f>"66 RUE SAINT MALO"</f>
        <v>66 RUE SAINT MALO</v>
      </c>
      <c r="H1034" t="str">
        <f>"14400"</f>
        <v>14400</v>
      </c>
      <c r="I1034" t="str">
        <f>"BAYEUX"</f>
        <v>BAYEUX</v>
      </c>
      <c r="J1034" t="str">
        <f>"07 85 30 53 44 "</f>
        <v xml:space="preserve">07 85 30 53 44 </v>
      </c>
      <c r="L1034" s="1">
        <v>44018</v>
      </c>
      <c r="M1034" t="str">
        <f t="shared" si="172"/>
        <v>124</v>
      </c>
      <c r="N1034" t="str">
        <f t="shared" si="173"/>
        <v>Centre de Santé</v>
      </c>
      <c r="O1034" t="str">
        <f>"60"</f>
        <v>60</v>
      </c>
      <c r="P1034" t="str">
        <f>"Association Loi 1901 non Reconnue d'Utilité Publique"</f>
        <v>Association Loi 1901 non Reconnue d'Utilité Publique</v>
      </c>
      <c r="Q1034" t="str">
        <f t="shared" ref="Q1034:Q1065" si="174">"36"</f>
        <v>36</v>
      </c>
      <c r="R1034" t="str">
        <f t="shared" ref="R1034:R1065" si="175">"Tarifs conventionnels assurance maladie"</f>
        <v>Tarifs conventionnels assurance maladie</v>
      </c>
      <c r="U1034" t="str">
        <f>"140033077"</f>
        <v>140033077</v>
      </c>
    </row>
    <row r="1035" spans="1:21" x14ac:dyDescent="0.3">
      <c r="A1035" t="str">
        <f>"760038851"</f>
        <v>760038851</v>
      </c>
      <c r="B1035" t="str">
        <f>"882 932 403 00018"</f>
        <v>882 932 403 00018</v>
      </c>
      <c r="D1035" t="str">
        <f>"CENTRE DE SANTE SAGEO LE HAVRE"</f>
        <v>CENTRE DE SANTE SAGEO LE HAVRE</v>
      </c>
      <c r="F1035" t="str">
        <f>"40 RUE BELLOT"</f>
        <v>40 RUE BELLOT</v>
      </c>
      <c r="H1035" t="str">
        <f>"76600"</f>
        <v>76600</v>
      </c>
      <c r="I1035" t="str">
        <f>"LE HAVRE"</f>
        <v>LE HAVRE</v>
      </c>
      <c r="L1035" s="1">
        <v>44018</v>
      </c>
      <c r="M1035" t="str">
        <f t="shared" si="172"/>
        <v>124</v>
      </c>
      <c r="N1035" t="str">
        <f t="shared" si="173"/>
        <v>Centre de Santé</v>
      </c>
      <c r="O1035" t="str">
        <f>"60"</f>
        <v>60</v>
      </c>
      <c r="P1035" t="str">
        <f>"Association Loi 1901 non Reconnue d'Utilité Publique"</f>
        <v>Association Loi 1901 non Reconnue d'Utilité Publique</v>
      </c>
      <c r="Q1035" t="str">
        <f t="shared" si="174"/>
        <v>36</v>
      </c>
      <c r="R1035" t="str">
        <f t="shared" si="175"/>
        <v>Tarifs conventionnels assurance maladie</v>
      </c>
      <c r="U1035" t="str">
        <f>"760038844"</f>
        <v>760038844</v>
      </c>
    </row>
    <row r="1036" spans="1:21" x14ac:dyDescent="0.3">
      <c r="A1036" t="str">
        <f>"310032156"</f>
        <v>310032156</v>
      </c>
      <c r="B1036" t="str">
        <f>"881 402 556 00024"</f>
        <v>881 402 556 00024</v>
      </c>
      <c r="D1036" t="str">
        <f>"ADN SANTE TOULOUSE"</f>
        <v>ADN SANTE TOULOUSE</v>
      </c>
      <c r="F1036" t="str">
        <f>"1 PLACE FRANÇOIS MITTERRAND"</f>
        <v>1 PLACE FRANÇOIS MITTERRAND</v>
      </c>
      <c r="H1036" t="str">
        <f>"31240"</f>
        <v>31240</v>
      </c>
      <c r="I1036" t="str">
        <f>"ST JEAN"</f>
        <v>ST JEAN</v>
      </c>
      <c r="J1036" t="str">
        <f>"07 76 96 12 62 "</f>
        <v xml:space="preserve">07 76 96 12 62 </v>
      </c>
      <c r="L1036" s="1">
        <v>44015</v>
      </c>
      <c r="M1036" t="str">
        <f t="shared" si="172"/>
        <v>124</v>
      </c>
      <c r="N1036" t="str">
        <f t="shared" si="173"/>
        <v>Centre de Santé</v>
      </c>
      <c r="O1036" t="str">
        <f>"60"</f>
        <v>60</v>
      </c>
      <c r="P1036" t="str">
        <f>"Association Loi 1901 non Reconnue d'Utilité Publique"</f>
        <v>Association Loi 1901 non Reconnue d'Utilité Publique</v>
      </c>
      <c r="Q1036" t="str">
        <f t="shared" si="174"/>
        <v>36</v>
      </c>
      <c r="R1036" t="str">
        <f t="shared" si="175"/>
        <v>Tarifs conventionnels assurance maladie</v>
      </c>
      <c r="U1036" t="str">
        <f>"310032149"</f>
        <v>310032149</v>
      </c>
    </row>
    <row r="1037" spans="1:21" x14ac:dyDescent="0.3">
      <c r="A1037" t="str">
        <f>"160016978"</f>
        <v>160016978</v>
      </c>
      <c r="B1037" t="str">
        <f>"221 600 018 00875"</f>
        <v>221 600 018 00875</v>
      </c>
      <c r="D1037" t="str">
        <f>"CDS POLYVALENT OUEST CHARENTE"</f>
        <v>CDS POLYVALENT OUEST CHARENTE</v>
      </c>
      <c r="F1037" t="str">
        <f>"20 RUE DES DOUILLONS"</f>
        <v>20 RUE DES DOUILLONS</v>
      </c>
      <c r="H1037" t="str">
        <f>"16200"</f>
        <v>16200</v>
      </c>
      <c r="I1037" t="str">
        <f>"SIGOGNE"</f>
        <v>SIGOGNE</v>
      </c>
      <c r="J1037" t="str">
        <f>"05 16 09 51 70 "</f>
        <v xml:space="preserve">05 16 09 51 70 </v>
      </c>
      <c r="L1037" s="1">
        <v>44013</v>
      </c>
      <c r="M1037" t="str">
        <f t="shared" si="172"/>
        <v>124</v>
      </c>
      <c r="N1037" t="str">
        <f t="shared" si="173"/>
        <v>Centre de Santé</v>
      </c>
      <c r="O1037" t="str">
        <f>"02"</f>
        <v>02</v>
      </c>
      <c r="P1037" t="str">
        <f>"Département"</f>
        <v>Département</v>
      </c>
      <c r="Q1037" t="str">
        <f t="shared" si="174"/>
        <v>36</v>
      </c>
      <c r="R1037" t="str">
        <f t="shared" si="175"/>
        <v>Tarifs conventionnels assurance maladie</v>
      </c>
      <c r="U1037" t="str">
        <f>"160007373"</f>
        <v>160007373</v>
      </c>
    </row>
    <row r="1038" spans="1:21" x14ac:dyDescent="0.3">
      <c r="A1038" t="str">
        <f>"290037688"</f>
        <v>290037688</v>
      </c>
      <c r="B1038" t="str">
        <f>"881 698 351 00015"</f>
        <v>881 698 351 00015</v>
      </c>
      <c r="D1038" t="str">
        <f>"CDS DENTAIRE BREST"</f>
        <v>CDS DENTAIRE BREST</v>
      </c>
      <c r="F1038" t="str">
        <f>"102 RUE JEAN JAURES"</f>
        <v>102 RUE JEAN JAURES</v>
      </c>
      <c r="H1038" t="str">
        <f>"29200"</f>
        <v>29200</v>
      </c>
      <c r="I1038" t="str">
        <f>"BREST"</f>
        <v>BREST</v>
      </c>
      <c r="L1038" s="1">
        <v>44013</v>
      </c>
      <c r="M1038" t="str">
        <f t="shared" si="172"/>
        <v>124</v>
      </c>
      <c r="N1038" t="str">
        <f t="shared" si="173"/>
        <v>Centre de Santé</v>
      </c>
      <c r="O1038" t="str">
        <f>"60"</f>
        <v>60</v>
      </c>
      <c r="P1038" t="str">
        <f>"Association Loi 1901 non Reconnue d'Utilité Publique"</f>
        <v>Association Loi 1901 non Reconnue d'Utilité Publique</v>
      </c>
      <c r="Q1038" t="str">
        <f t="shared" si="174"/>
        <v>36</v>
      </c>
      <c r="R1038" t="str">
        <f t="shared" si="175"/>
        <v>Tarifs conventionnels assurance maladie</v>
      </c>
      <c r="U1038" t="str">
        <f>"290037670"</f>
        <v>290037670</v>
      </c>
    </row>
    <row r="1039" spans="1:21" x14ac:dyDescent="0.3">
      <c r="A1039" t="str">
        <f>"340027036"</f>
        <v>340027036</v>
      </c>
      <c r="B1039" t="str">
        <f>"850 579 335 00025"</f>
        <v>850 579 335 00025</v>
      </c>
      <c r="D1039" t="str">
        <f>"CENTRE DENTAIRE GEORGES CLEMENCEAU"</f>
        <v>CENTRE DENTAIRE GEORGES CLEMENCEAU</v>
      </c>
      <c r="F1039" t="str">
        <f>"49 AVENUE GEORGES CLEMENCEAU"</f>
        <v>49 AVENUE GEORGES CLEMENCEAU</v>
      </c>
      <c r="H1039" t="str">
        <f>"34090"</f>
        <v>34090</v>
      </c>
      <c r="I1039" t="str">
        <f>"MONTPELLIER"</f>
        <v>MONTPELLIER</v>
      </c>
      <c r="L1039" s="1">
        <v>44013</v>
      </c>
      <c r="M1039" t="str">
        <f t="shared" si="172"/>
        <v>124</v>
      </c>
      <c r="N1039" t="str">
        <f t="shared" si="173"/>
        <v>Centre de Santé</v>
      </c>
      <c r="O1039" t="str">
        <f>"60"</f>
        <v>60</v>
      </c>
      <c r="P1039" t="str">
        <f>"Association Loi 1901 non Reconnue d'Utilité Publique"</f>
        <v>Association Loi 1901 non Reconnue d'Utilité Publique</v>
      </c>
      <c r="Q1039" t="str">
        <f t="shared" si="174"/>
        <v>36</v>
      </c>
      <c r="R1039" t="str">
        <f t="shared" si="175"/>
        <v>Tarifs conventionnels assurance maladie</v>
      </c>
      <c r="U1039" t="str">
        <f>"340029313"</f>
        <v>340029313</v>
      </c>
    </row>
    <row r="1040" spans="1:21" x14ac:dyDescent="0.3">
      <c r="A1040" t="str">
        <f>"600015465"</f>
        <v>600015465</v>
      </c>
      <c r="B1040" t="str">
        <f>"883 982 720 00012"</f>
        <v>883 982 720 00012</v>
      </c>
      <c r="D1040" t="str">
        <f>"CSD COMPIEGNE"</f>
        <v>CSD COMPIEGNE</v>
      </c>
      <c r="F1040" t="str">
        <f>"4 RUE DES DOMELIERS"</f>
        <v>4 RUE DES DOMELIERS</v>
      </c>
      <c r="H1040" t="str">
        <f>"60200"</f>
        <v>60200</v>
      </c>
      <c r="I1040" t="str">
        <f>"COMPIEGNE"</f>
        <v>COMPIEGNE</v>
      </c>
      <c r="L1040" s="1">
        <v>44013</v>
      </c>
      <c r="M1040" t="str">
        <f t="shared" si="172"/>
        <v>124</v>
      </c>
      <c r="N1040" t="str">
        <f t="shared" si="173"/>
        <v>Centre de Santé</v>
      </c>
      <c r="O1040" t="str">
        <f>"61"</f>
        <v>61</v>
      </c>
      <c r="P1040" t="str">
        <f>"Association Loi 1901 Reconnue d'Utilité Publique"</f>
        <v>Association Loi 1901 Reconnue d'Utilité Publique</v>
      </c>
      <c r="Q1040" t="str">
        <f t="shared" si="174"/>
        <v>36</v>
      </c>
      <c r="R1040" t="str">
        <f t="shared" si="175"/>
        <v>Tarifs conventionnels assurance maladie</v>
      </c>
      <c r="U1040" t="str">
        <f>"600015457"</f>
        <v>600015457</v>
      </c>
    </row>
    <row r="1041" spans="1:21" x14ac:dyDescent="0.3">
      <c r="A1041" t="str">
        <f>"690048624"</f>
        <v>690048624</v>
      </c>
      <c r="B1041" t="str">
        <f>"884 411 141 00010"</f>
        <v>884 411 141 00010</v>
      </c>
      <c r="D1041" t="str">
        <f>"CENTRE DE SANTE DENTAIRE LAFAYETTE"</f>
        <v>CENTRE DE SANTE DENTAIRE LAFAYETTE</v>
      </c>
      <c r="F1041" t="str">
        <f>"119 COURS LAFAYETTE"</f>
        <v>119 COURS LAFAYETTE</v>
      </c>
      <c r="H1041" t="str">
        <f>"69006"</f>
        <v>69006</v>
      </c>
      <c r="I1041" t="str">
        <f>"LYON"</f>
        <v>LYON</v>
      </c>
      <c r="J1041" t="str">
        <f>"01 42 55 55 43 "</f>
        <v xml:space="preserve">01 42 55 55 43 </v>
      </c>
      <c r="L1041" s="1">
        <v>44013</v>
      </c>
      <c r="M1041" t="str">
        <f t="shared" si="172"/>
        <v>124</v>
      </c>
      <c r="N1041" t="str">
        <f t="shared" si="173"/>
        <v>Centre de Santé</v>
      </c>
      <c r="O1041" t="str">
        <f>"60"</f>
        <v>60</v>
      </c>
      <c r="P1041" t="str">
        <f>"Association Loi 1901 non Reconnue d'Utilité Publique"</f>
        <v>Association Loi 1901 non Reconnue d'Utilité Publique</v>
      </c>
      <c r="Q1041" t="str">
        <f t="shared" si="174"/>
        <v>36</v>
      </c>
      <c r="R1041" t="str">
        <f t="shared" si="175"/>
        <v>Tarifs conventionnels assurance maladie</v>
      </c>
      <c r="U1041" t="str">
        <f>"690048616"</f>
        <v>690048616</v>
      </c>
    </row>
    <row r="1042" spans="1:21" x14ac:dyDescent="0.3">
      <c r="A1042" t="str">
        <f>"930029640"</f>
        <v>930029640</v>
      </c>
      <c r="B1042" t="str">
        <f>"879 464 535 00019"</f>
        <v>879 464 535 00019</v>
      </c>
      <c r="D1042" t="str">
        <f>"CDS DENTAIRE OPHTALMO DRANCY STALING"</f>
        <v>CDS DENTAIRE OPHTALMO DRANCY STALING</v>
      </c>
      <c r="F1042" t="str">
        <f>"240 RUE DE STALINGRAD"</f>
        <v>240 RUE DE STALINGRAD</v>
      </c>
      <c r="H1042" t="str">
        <f>"93700"</f>
        <v>93700</v>
      </c>
      <c r="I1042" t="str">
        <f>"DRANCY"</f>
        <v>DRANCY</v>
      </c>
      <c r="L1042" s="1">
        <v>44013</v>
      </c>
      <c r="M1042" t="str">
        <f t="shared" si="172"/>
        <v>124</v>
      </c>
      <c r="N1042" t="str">
        <f t="shared" si="173"/>
        <v>Centre de Santé</v>
      </c>
      <c r="O1042" t="str">
        <f>"60"</f>
        <v>60</v>
      </c>
      <c r="P1042" t="str">
        <f>"Association Loi 1901 non Reconnue d'Utilité Publique"</f>
        <v>Association Loi 1901 non Reconnue d'Utilité Publique</v>
      </c>
      <c r="Q1042" t="str">
        <f t="shared" si="174"/>
        <v>36</v>
      </c>
      <c r="R1042" t="str">
        <f t="shared" si="175"/>
        <v>Tarifs conventionnels assurance maladie</v>
      </c>
      <c r="U1042" t="str">
        <f>"930029632"</f>
        <v>930029632</v>
      </c>
    </row>
    <row r="1043" spans="1:21" x14ac:dyDescent="0.3">
      <c r="A1043" t="str">
        <f>"330061227"</f>
        <v>330061227</v>
      </c>
      <c r="B1043" t="str">
        <f>"881 402 564 00028"</f>
        <v>881 402 564 00028</v>
      </c>
      <c r="D1043" t="str">
        <f>"CDS ADN SANTE BORDEAUX"</f>
        <v>CDS ADN SANTE BORDEAUX</v>
      </c>
      <c r="F1043" t="str">
        <f>"30 RUE JOSEPH BONNET"</f>
        <v>30 RUE JOSEPH BONNET</v>
      </c>
      <c r="H1043" t="str">
        <f>"33100"</f>
        <v>33100</v>
      </c>
      <c r="I1043" t="str">
        <f>"BORDEAUX"</f>
        <v>BORDEAUX</v>
      </c>
      <c r="J1043" t="str">
        <f>"06 35 35 90 47 "</f>
        <v xml:space="preserve">06 35 35 90 47 </v>
      </c>
      <c r="L1043" s="1">
        <v>44011</v>
      </c>
      <c r="M1043" t="str">
        <f t="shared" si="172"/>
        <v>124</v>
      </c>
      <c r="N1043" t="str">
        <f t="shared" si="173"/>
        <v>Centre de Santé</v>
      </c>
      <c r="O1043" t="str">
        <f>"60"</f>
        <v>60</v>
      </c>
      <c r="P1043" t="str">
        <f>"Association Loi 1901 non Reconnue d'Utilité Publique"</f>
        <v>Association Loi 1901 non Reconnue d'Utilité Publique</v>
      </c>
      <c r="Q1043" t="str">
        <f t="shared" si="174"/>
        <v>36</v>
      </c>
      <c r="R1043" t="str">
        <f t="shared" si="175"/>
        <v>Tarifs conventionnels assurance maladie</v>
      </c>
      <c r="U1043" t="str">
        <f>"330061219"</f>
        <v>330061219</v>
      </c>
    </row>
    <row r="1044" spans="1:21" x14ac:dyDescent="0.3">
      <c r="A1044" t="str">
        <f>"770022994"</f>
        <v>770022994</v>
      </c>
      <c r="B1044" t="str">
        <f>"200 033 090 00016"</f>
        <v>200 033 090 00016</v>
      </c>
      <c r="D1044" t="str">
        <f>"CDS INTERCOMMUNAL PLAINE ET MONTS"</f>
        <v>CDS INTERCOMMUNAL PLAINE ET MONTS</v>
      </c>
      <c r="F1044" t="str">
        <f>"68 RUE DE L'OURCQ"</f>
        <v>68 RUE DE L'OURCQ</v>
      </c>
      <c r="H1044" t="str">
        <f>"77410"</f>
        <v>77410</v>
      </c>
      <c r="I1044" t="str">
        <f>"FRESNES SUR MARNE"</f>
        <v>FRESNES SUR MARNE</v>
      </c>
      <c r="J1044" t="str">
        <f>"01 60 54 68 40 "</f>
        <v xml:space="preserve">01 60 54 68 40 </v>
      </c>
      <c r="L1044" s="1">
        <v>44011</v>
      </c>
      <c r="M1044" t="str">
        <f t="shared" si="172"/>
        <v>124</v>
      </c>
      <c r="N1044" t="str">
        <f t="shared" si="173"/>
        <v>Centre de Santé</v>
      </c>
      <c r="O1044" t="str">
        <f>"06"</f>
        <v>06</v>
      </c>
      <c r="P1044" t="str">
        <f>"Autre Collectivité Territoriale"</f>
        <v>Autre Collectivité Territoriale</v>
      </c>
      <c r="Q1044" t="str">
        <f t="shared" si="174"/>
        <v>36</v>
      </c>
      <c r="R1044" t="str">
        <f t="shared" si="175"/>
        <v>Tarifs conventionnels assurance maladie</v>
      </c>
      <c r="U1044" t="str">
        <f>"770022952"</f>
        <v>770022952</v>
      </c>
    </row>
    <row r="1045" spans="1:21" x14ac:dyDescent="0.3">
      <c r="A1045" t="str">
        <f>"750065724"</f>
        <v>750065724</v>
      </c>
      <c r="B1045" t="str">
        <f>"882 540 768 00018"</f>
        <v>882 540 768 00018</v>
      </c>
      <c r="D1045" t="str">
        <f>"CDS OPHTALMOLOGIQUE"</f>
        <v>CDS OPHTALMOLOGIQUE</v>
      </c>
      <c r="F1045" t="str">
        <f>"10 RUE NOTRE DAME DE NAZARETH"</f>
        <v>10 RUE NOTRE DAME DE NAZARETH</v>
      </c>
      <c r="H1045" t="str">
        <f>"75003"</f>
        <v>75003</v>
      </c>
      <c r="I1045" t="str">
        <f>"PARIS"</f>
        <v>PARIS</v>
      </c>
      <c r="L1045" s="1">
        <v>44007</v>
      </c>
      <c r="M1045" t="str">
        <f t="shared" si="172"/>
        <v>124</v>
      </c>
      <c r="N1045" t="str">
        <f t="shared" si="173"/>
        <v>Centre de Santé</v>
      </c>
      <c r="O1045" t="str">
        <f t="shared" ref="O1045:O1053" si="176">"60"</f>
        <v>60</v>
      </c>
      <c r="P1045" t="str">
        <f t="shared" ref="P1045:P1053" si="177">"Association Loi 1901 non Reconnue d'Utilité Publique"</f>
        <v>Association Loi 1901 non Reconnue d'Utilité Publique</v>
      </c>
      <c r="Q1045" t="str">
        <f t="shared" si="174"/>
        <v>36</v>
      </c>
      <c r="R1045" t="str">
        <f t="shared" si="175"/>
        <v>Tarifs conventionnels assurance maladie</v>
      </c>
      <c r="U1045" t="str">
        <f>"750065716"</f>
        <v>750065716</v>
      </c>
    </row>
    <row r="1046" spans="1:21" x14ac:dyDescent="0.3">
      <c r="A1046" t="str">
        <f>"750065740"</f>
        <v>750065740</v>
      </c>
      <c r="B1046" t="str">
        <f>"882 256 837 00015"</f>
        <v>882 256 837 00015</v>
      </c>
      <c r="D1046" t="str">
        <f>"CDS DE PARIS"</f>
        <v>CDS DE PARIS</v>
      </c>
      <c r="F1046" t="str">
        <f>"3 RUE DE MENILMONTANT"</f>
        <v>3 RUE DE MENILMONTANT</v>
      </c>
      <c r="H1046" t="str">
        <f>"75020"</f>
        <v>75020</v>
      </c>
      <c r="I1046" t="str">
        <f>"PARIS"</f>
        <v>PARIS</v>
      </c>
      <c r="J1046" t="str">
        <f>"06 58 08 20 01 "</f>
        <v xml:space="preserve">06 58 08 20 01 </v>
      </c>
      <c r="L1046" s="1">
        <v>44007</v>
      </c>
      <c r="M1046" t="str">
        <f t="shared" si="172"/>
        <v>124</v>
      </c>
      <c r="N1046" t="str">
        <f t="shared" si="173"/>
        <v>Centre de Santé</v>
      </c>
      <c r="O1046" t="str">
        <f t="shared" si="176"/>
        <v>60</v>
      </c>
      <c r="P1046" t="str">
        <f t="shared" si="177"/>
        <v>Association Loi 1901 non Reconnue d'Utilité Publique</v>
      </c>
      <c r="Q1046" t="str">
        <f t="shared" si="174"/>
        <v>36</v>
      </c>
      <c r="R1046" t="str">
        <f t="shared" si="175"/>
        <v>Tarifs conventionnels assurance maladie</v>
      </c>
      <c r="U1046" t="str">
        <f>"750065732"</f>
        <v>750065732</v>
      </c>
    </row>
    <row r="1047" spans="1:21" x14ac:dyDescent="0.3">
      <c r="A1047" t="str">
        <f>"770023505"</f>
        <v>770023505</v>
      </c>
      <c r="D1047" t="str">
        <f>"CDS DENTEVUE"</f>
        <v>CDS DENTEVUE</v>
      </c>
      <c r="F1047" t="str">
        <f>"38 RUE DE MONTHELY"</f>
        <v>38 RUE DE MONTHELY</v>
      </c>
      <c r="H1047" t="str">
        <f>"77340"</f>
        <v>77340</v>
      </c>
      <c r="I1047" t="str">
        <f>"PONTAULT COMBAULT"</f>
        <v>PONTAULT COMBAULT</v>
      </c>
      <c r="L1047" s="1">
        <v>44007</v>
      </c>
      <c r="M1047" t="str">
        <f t="shared" si="172"/>
        <v>124</v>
      </c>
      <c r="N1047" t="str">
        <f t="shared" si="173"/>
        <v>Centre de Santé</v>
      </c>
      <c r="O1047" t="str">
        <f t="shared" si="176"/>
        <v>60</v>
      </c>
      <c r="P1047" t="str">
        <f t="shared" si="177"/>
        <v>Association Loi 1901 non Reconnue d'Utilité Publique</v>
      </c>
      <c r="Q1047" t="str">
        <f t="shared" si="174"/>
        <v>36</v>
      </c>
      <c r="R1047" t="str">
        <f t="shared" si="175"/>
        <v>Tarifs conventionnels assurance maladie</v>
      </c>
      <c r="U1047" t="str">
        <f>"940026354"</f>
        <v>940026354</v>
      </c>
    </row>
    <row r="1048" spans="1:21" x14ac:dyDescent="0.3">
      <c r="A1048" t="str">
        <f>"770023521"</f>
        <v>770023521</v>
      </c>
      <c r="D1048" t="str">
        <f>"CDS INFIRMIERS DE SEINE ET MARNE"</f>
        <v>CDS INFIRMIERS DE SEINE ET MARNE</v>
      </c>
      <c r="F1048" t="str">
        <f>"5 RUE BROSSOLETTE"</f>
        <v>5 RUE BROSSOLETTE</v>
      </c>
      <c r="H1048" t="str">
        <f>"77380"</f>
        <v>77380</v>
      </c>
      <c r="I1048" t="str">
        <f>"COMBS LA VILLE"</f>
        <v>COMBS LA VILLE</v>
      </c>
      <c r="L1048" s="1">
        <v>44007</v>
      </c>
      <c r="M1048" t="str">
        <f t="shared" si="172"/>
        <v>124</v>
      </c>
      <c r="N1048" t="str">
        <f t="shared" si="173"/>
        <v>Centre de Santé</v>
      </c>
      <c r="O1048" t="str">
        <f t="shared" si="176"/>
        <v>60</v>
      </c>
      <c r="P1048" t="str">
        <f t="shared" si="177"/>
        <v>Association Loi 1901 non Reconnue d'Utilité Publique</v>
      </c>
      <c r="Q1048" t="str">
        <f t="shared" si="174"/>
        <v>36</v>
      </c>
      <c r="R1048" t="str">
        <f t="shared" si="175"/>
        <v>Tarifs conventionnels assurance maladie</v>
      </c>
      <c r="U1048" t="str">
        <f>"770023513"</f>
        <v>770023513</v>
      </c>
    </row>
    <row r="1049" spans="1:21" x14ac:dyDescent="0.3">
      <c r="A1049" t="str">
        <f>"920036555"</f>
        <v>920036555</v>
      </c>
      <c r="B1049" t="str">
        <f>"879 239 275 00016"</f>
        <v>879 239 275 00016</v>
      </c>
      <c r="D1049" t="str">
        <f>"CDS MEDICO OPHTALMO BERGES DE SEINE"</f>
        <v>CDS MEDICO OPHTALMO BERGES DE SEINE</v>
      </c>
      <c r="F1049" t="str">
        <f>"6 RUE DES FRERES LUMIERE"</f>
        <v>6 RUE DES FRERES LUMIERE</v>
      </c>
      <c r="H1049" t="str">
        <f>"92110"</f>
        <v>92110</v>
      </c>
      <c r="I1049" t="str">
        <f>"CLICHY"</f>
        <v>CLICHY</v>
      </c>
      <c r="L1049" s="1">
        <v>44007</v>
      </c>
      <c r="M1049" t="str">
        <f t="shared" si="172"/>
        <v>124</v>
      </c>
      <c r="N1049" t="str">
        <f t="shared" si="173"/>
        <v>Centre de Santé</v>
      </c>
      <c r="O1049" t="str">
        <f t="shared" si="176"/>
        <v>60</v>
      </c>
      <c r="P1049" t="str">
        <f t="shared" si="177"/>
        <v>Association Loi 1901 non Reconnue d'Utilité Publique</v>
      </c>
      <c r="Q1049" t="str">
        <f t="shared" si="174"/>
        <v>36</v>
      </c>
      <c r="R1049" t="str">
        <f t="shared" si="175"/>
        <v>Tarifs conventionnels assurance maladie</v>
      </c>
      <c r="U1049" t="str">
        <f>"920036548"</f>
        <v>920036548</v>
      </c>
    </row>
    <row r="1050" spans="1:21" x14ac:dyDescent="0.3">
      <c r="A1050" t="str">
        <f>"930029822"</f>
        <v>930029822</v>
      </c>
      <c r="B1050" t="str">
        <f>"881 239 974 00010"</f>
        <v>881 239 974 00010</v>
      </c>
      <c r="D1050" t="str">
        <f>"CDS OPHTALMOLOGIQUE SANTE VISION"</f>
        <v>CDS OPHTALMOLOGIQUE SANTE VISION</v>
      </c>
      <c r="F1050" t="str">
        <f>"39 AVENUE DE LATTRE DE TASSIGNY"</f>
        <v>39 AVENUE DE LATTRE DE TASSIGNY</v>
      </c>
      <c r="H1050" t="str">
        <f>"93800"</f>
        <v>93800</v>
      </c>
      <c r="I1050" t="str">
        <f>"EPINAY SUR SEINE"</f>
        <v>EPINAY SUR SEINE</v>
      </c>
      <c r="L1050" s="1">
        <v>44007</v>
      </c>
      <c r="M1050" t="str">
        <f t="shared" si="172"/>
        <v>124</v>
      </c>
      <c r="N1050" t="str">
        <f t="shared" si="173"/>
        <v>Centre de Santé</v>
      </c>
      <c r="O1050" t="str">
        <f t="shared" si="176"/>
        <v>60</v>
      </c>
      <c r="P1050" t="str">
        <f t="shared" si="177"/>
        <v>Association Loi 1901 non Reconnue d'Utilité Publique</v>
      </c>
      <c r="Q1050" t="str">
        <f t="shared" si="174"/>
        <v>36</v>
      </c>
      <c r="R1050" t="str">
        <f t="shared" si="175"/>
        <v>Tarifs conventionnels assurance maladie</v>
      </c>
      <c r="U1050" t="str">
        <f>"930029814"</f>
        <v>930029814</v>
      </c>
    </row>
    <row r="1051" spans="1:21" x14ac:dyDescent="0.3">
      <c r="A1051" t="str">
        <f>"950045179"</f>
        <v>950045179</v>
      </c>
      <c r="B1051" t="str">
        <f>"882 115 348 00014"</f>
        <v>882 115 348 00014</v>
      </c>
      <c r="D1051" t="str">
        <f>"CDS MEDICAL OPHTALMOLOGIQUE DENTAIRE"</f>
        <v>CDS MEDICAL OPHTALMOLOGIQUE DENTAIRE</v>
      </c>
      <c r="F1051" t="str">
        <f>"26 ROUTE DE TAVERNY"</f>
        <v>26 ROUTE DE TAVERNY</v>
      </c>
      <c r="G1051" t="str">
        <f>"AV DESMARAIS CIAL EPINE GUYON"</f>
        <v>AV DESMARAIS CIAL EPINE GUYON</v>
      </c>
      <c r="H1051" t="str">
        <f>"95130"</f>
        <v>95130</v>
      </c>
      <c r="I1051" t="str">
        <f>"FRANCONVILLE LA GARENNE"</f>
        <v>FRANCONVILLE LA GARENNE</v>
      </c>
      <c r="L1051" s="1">
        <v>44007</v>
      </c>
      <c r="M1051" t="str">
        <f t="shared" si="172"/>
        <v>124</v>
      </c>
      <c r="N1051" t="str">
        <f t="shared" si="173"/>
        <v>Centre de Santé</v>
      </c>
      <c r="O1051" t="str">
        <f t="shared" si="176"/>
        <v>60</v>
      </c>
      <c r="P1051" t="str">
        <f t="shared" si="177"/>
        <v>Association Loi 1901 non Reconnue d'Utilité Publique</v>
      </c>
      <c r="Q1051" t="str">
        <f t="shared" si="174"/>
        <v>36</v>
      </c>
      <c r="R1051" t="str">
        <f t="shared" si="175"/>
        <v>Tarifs conventionnels assurance maladie</v>
      </c>
      <c r="U1051" t="str">
        <f>"950045161"</f>
        <v>950045161</v>
      </c>
    </row>
    <row r="1052" spans="1:21" x14ac:dyDescent="0.3">
      <c r="A1052" t="str">
        <f>"510026040"</f>
        <v>510026040</v>
      </c>
      <c r="B1052" t="str">
        <f>"878 922 723 00019"</f>
        <v>878 922 723 00019</v>
      </c>
      <c r="D1052" t="str">
        <f>"CENTRE DE SANTE DENTAIRE REIMS"</f>
        <v>CENTRE DE SANTE DENTAIRE REIMS</v>
      </c>
      <c r="F1052" t="str">
        <f>"35 RUE DE TALLEYRAND"</f>
        <v>35 RUE DE TALLEYRAND</v>
      </c>
      <c r="H1052" t="str">
        <f>"51100"</f>
        <v>51100</v>
      </c>
      <c r="I1052" t="str">
        <f>"REIMS"</f>
        <v>REIMS</v>
      </c>
      <c r="J1052" t="str">
        <f>"03 10 00 64 09 "</f>
        <v xml:space="preserve">03 10 00 64 09 </v>
      </c>
      <c r="L1052" s="1">
        <v>44005</v>
      </c>
      <c r="M1052" t="str">
        <f t="shared" si="172"/>
        <v>124</v>
      </c>
      <c r="N1052" t="str">
        <f t="shared" si="173"/>
        <v>Centre de Santé</v>
      </c>
      <c r="O1052" t="str">
        <f t="shared" si="176"/>
        <v>60</v>
      </c>
      <c r="P1052" t="str">
        <f t="shared" si="177"/>
        <v>Association Loi 1901 non Reconnue d'Utilité Publique</v>
      </c>
      <c r="Q1052" t="str">
        <f t="shared" si="174"/>
        <v>36</v>
      </c>
      <c r="R1052" t="str">
        <f t="shared" si="175"/>
        <v>Tarifs conventionnels assurance maladie</v>
      </c>
      <c r="U1052" t="str">
        <f>"510026032"</f>
        <v>510026032</v>
      </c>
    </row>
    <row r="1053" spans="1:21" x14ac:dyDescent="0.3">
      <c r="A1053" t="str">
        <f>"920036498"</f>
        <v>920036498</v>
      </c>
      <c r="B1053" t="str">
        <f>"880 500 186 00015"</f>
        <v>880 500 186 00015</v>
      </c>
      <c r="D1053" t="str">
        <f>"CDS DE L'EUROPE"</f>
        <v>CDS DE L'EUROPE</v>
      </c>
      <c r="F1053" t="str">
        <f>"25 AVENUE DE L'EUROPE"</f>
        <v>25 AVENUE DE L'EUROPE</v>
      </c>
      <c r="H1053" t="str">
        <f>"92700"</f>
        <v>92700</v>
      </c>
      <c r="I1053" t="str">
        <f>"COLOMBES"</f>
        <v>COLOMBES</v>
      </c>
      <c r="J1053" t="str">
        <f>"07 69 56 26 52 "</f>
        <v xml:space="preserve">07 69 56 26 52 </v>
      </c>
      <c r="L1053" s="1">
        <v>44005</v>
      </c>
      <c r="M1053" t="str">
        <f t="shared" si="172"/>
        <v>124</v>
      </c>
      <c r="N1053" t="str">
        <f t="shared" si="173"/>
        <v>Centre de Santé</v>
      </c>
      <c r="O1053" t="str">
        <f t="shared" si="176"/>
        <v>60</v>
      </c>
      <c r="P1053" t="str">
        <f t="shared" si="177"/>
        <v>Association Loi 1901 non Reconnue d'Utilité Publique</v>
      </c>
      <c r="Q1053" t="str">
        <f t="shared" si="174"/>
        <v>36</v>
      </c>
      <c r="R1053" t="str">
        <f t="shared" si="175"/>
        <v>Tarifs conventionnels assurance maladie</v>
      </c>
      <c r="U1053" t="str">
        <f>"920036480"</f>
        <v>920036480</v>
      </c>
    </row>
    <row r="1054" spans="1:21" x14ac:dyDescent="0.3">
      <c r="A1054" t="str">
        <f>"690048384"</f>
        <v>690048384</v>
      </c>
      <c r="B1054" t="str">
        <f>"812 502 425 00034"</f>
        <v>812 502 425 00034</v>
      </c>
      <c r="D1054" t="str">
        <f>"CENTRE DE SANTE LABELIA CHARBONNIERES"</f>
        <v>CENTRE DE SANTE LABELIA CHARBONNIERES</v>
      </c>
      <c r="F1054" t="str">
        <f>"104 ROUTE DE PARIS"</f>
        <v>104 ROUTE DE PARIS</v>
      </c>
      <c r="H1054" t="str">
        <f>"69260"</f>
        <v>69260</v>
      </c>
      <c r="I1054" t="str">
        <f>"CHARBONNIERES LES BAINS"</f>
        <v>CHARBONNIERES LES BAINS</v>
      </c>
      <c r="J1054" t="str">
        <f>"06 60 60 06 67 "</f>
        <v xml:space="preserve">06 60 60 06 67 </v>
      </c>
      <c r="L1054" s="1">
        <v>44004</v>
      </c>
      <c r="M1054" t="str">
        <f t="shared" si="172"/>
        <v>124</v>
      </c>
      <c r="N1054" t="str">
        <f t="shared" si="173"/>
        <v>Centre de Santé</v>
      </c>
      <c r="O1054" t="str">
        <f>"61"</f>
        <v>61</v>
      </c>
      <c r="P1054" t="str">
        <f>"Association Loi 1901 Reconnue d'Utilité Publique"</f>
        <v>Association Loi 1901 Reconnue d'Utilité Publique</v>
      </c>
      <c r="Q1054" t="str">
        <f t="shared" si="174"/>
        <v>36</v>
      </c>
      <c r="R1054" t="str">
        <f t="shared" si="175"/>
        <v>Tarifs conventionnels assurance maladie</v>
      </c>
      <c r="U1054" t="str">
        <f>"690041207"</f>
        <v>690041207</v>
      </c>
    </row>
    <row r="1055" spans="1:21" x14ac:dyDescent="0.3">
      <c r="A1055" t="str">
        <f>"100011303"</f>
        <v>100011303</v>
      </c>
      <c r="B1055" t="str">
        <f>"844 980 771 00019"</f>
        <v>844 980 771 00019</v>
      </c>
      <c r="D1055" t="str">
        <f>"CENTRE MEDICO DENTAIRE JEAN JAURES"</f>
        <v>CENTRE MEDICO DENTAIRE JEAN JAURES</v>
      </c>
      <c r="F1055" t="str">
        <f>"40 PLACE JEAN JAURES"</f>
        <v>40 PLACE JEAN JAURES</v>
      </c>
      <c r="H1055" t="str">
        <f>"10000"</f>
        <v>10000</v>
      </c>
      <c r="I1055" t="str">
        <f>"TROYES"</f>
        <v>TROYES</v>
      </c>
      <c r="L1055" s="1">
        <v>44002</v>
      </c>
      <c r="M1055" t="str">
        <f t="shared" si="172"/>
        <v>124</v>
      </c>
      <c r="N1055" t="str">
        <f t="shared" si="173"/>
        <v>Centre de Santé</v>
      </c>
      <c r="O1055" t="str">
        <f t="shared" ref="O1055:O1060" si="178">"60"</f>
        <v>60</v>
      </c>
      <c r="P1055" t="str">
        <f t="shared" ref="P1055:P1060" si="179">"Association Loi 1901 non Reconnue d'Utilité Publique"</f>
        <v>Association Loi 1901 non Reconnue d'Utilité Publique</v>
      </c>
      <c r="Q1055" t="str">
        <f t="shared" si="174"/>
        <v>36</v>
      </c>
      <c r="R1055" t="str">
        <f t="shared" si="175"/>
        <v>Tarifs conventionnels assurance maladie</v>
      </c>
      <c r="U1055" t="str">
        <f>"100011295"</f>
        <v>100011295</v>
      </c>
    </row>
    <row r="1056" spans="1:21" x14ac:dyDescent="0.3">
      <c r="A1056" t="str">
        <f>"770023497"</f>
        <v>770023497</v>
      </c>
      <c r="B1056" t="str">
        <f>"878 682 913 00016"</f>
        <v>878 682 913 00016</v>
      </c>
      <c r="D1056" t="str">
        <f>"CDS MEDICO DENTAIRE DE MELUN"</f>
        <v>CDS MEDICO DENTAIRE DE MELUN</v>
      </c>
      <c r="E1056" t="str">
        <f>"1-3"</f>
        <v>1-3</v>
      </c>
      <c r="F1056" t="str">
        <f>"1 PLACE GALLIENI"</f>
        <v>1 PLACE GALLIENI</v>
      </c>
      <c r="H1056" t="str">
        <f>"77000"</f>
        <v>77000</v>
      </c>
      <c r="I1056" t="str">
        <f>"MELUN"</f>
        <v>MELUN</v>
      </c>
      <c r="L1056" s="1">
        <v>43999</v>
      </c>
      <c r="M1056" t="str">
        <f t="shared" si="172"/>
        <v>124</v>
      </c>
      <c r="N1056" t="str">
        <f t="shared" si="173"/>
        <v>Centre de Santé</v>
      </c>
      <c r="O1056" t="str">
        <f t="shared" si="178"/>
        <v>60</v>
      </c>
      <c r="P1056" t="str">
        <f t="shared" si="179"/>
        <v>Association Loi 1901 non Reconnue d'Utilité Publique</v>
      </c>
      <c r="Q1056" t="str">
        <f t="shared" si="174"/>
        <v>36</v>
      </c>
      <c r="R1056" t="str">
        <f t="shared" si="175"/>
        <v>Tarifs conventionnels assurance maladie</v>
      </c>
      <c r="U1056" t="str">
        <f>"770023489"</f>
        <v>770023489</v>
      </c>
    </row>
    <row r="1057" spans="1:21" x14ac:dyDescent="0.3">
      <c r="A1057" t="str">
        <f>"930029749"</f>
        <v>930029749</v>
      </c>
      <c r="B1057" t="str">
        <f>"880 097 803 00014"</f>
        <v>880 097 803 00014</v>
      </c>
      <c r="D1057" t="str">
        <f>"CDS EMD ETIENNE MARCEL"</f>
        <v>CDS EMD ETIENNE MARCEL</v>
      </c>
      <c r="F1057" t="str">
        <f>"11 RUE ETIENNE MARCEL"</f>
        <v>11 RUE ETIENNE MARCEL</v>
      </c>
      <c r="H1057" t="str">
        <f>"93500"</f>
        <v>93500</v>
      </c>
      <c r="I1057" t="str">
        <f>"PANTIN"</f>
        <v>PANTIN</v>
      </c>
      <c r="J1057" t="str">
        <f>"06 62 77 37 30 "</f>
        <v xml:space="preserve">06 62 77 37 30 </v>
      </c>
      <c r="L1057" s="1">
        <v>43999</v>
      </c>
      <c r="M1057" t="str">
        <f t="shared" si="172"/>
        <v>124</v>
      </c>
      <c r="N1057" t="str">
        <f t="shared" si="173"/>
        <v>Centre de Santé</v>
      </c>
      <c r="O1057" t="str">
        <f t="shared" si="178"/>
        <v>60</v>
      </c>
      <c r="P1057" t="str">
        <f t="shared" si="179"/>
        <v>Association Loi 1901 non Reconnue d'Utilité Publique</v>
      </c>
      <c r="Q1057" t="str">
        <f t="shared" si="174"/>
        <v>36</v>
      </c>
      <c r="R1057" t="str">
        <f t="shared" si="175"/>
        <v>Tarifs conventionnels assurance maladie</v>
      </c>
      <c r="U1057" t="str">
        <f>"930029731"</f>
        <v>930029731</v>
      </c>
    </row>
    <row r="1058" spans="1:21" x14ac:dyDescent="0.3">
      <c r="A1058" t="str">
        <f>"930029756"</f>
        <v>930029756</v>
      </c>
      <c r="B1058" t="str">
        <f>"851 711 242 00012"</f>
        <v>851 711 242 00012</v>
      </c>
      <c r="D1058" t="str">
        <f>"CDS DENTAIRE NEUILLY SUR MARNE"</f>
        <v>CDS DENTAIRE NEUILLY SUR MARNE</v>
      </c>
      <c r="F1058" t="str">
        <f>"449 AVENUE DU 8 MAI 1945"</f>
        <v>449 AVENUE DU 8 MAI 1945</v>
      </c>
      <c r="H1058" t="str">
        <f>"93330"</f>
        <v>93330</v>
      </c>
      <c r="I1058" t="str">
        <f>"NEUILLY SUR MARNE"</f>
        <v>NEUILLY SUR MARNE</v>
      </c>
      <c r="L1058" s="1">
        <v>43999</v>
      </c>
      <c r="M1058" t="str">
        <f t="shared" si="172"/>
        <v>124</v>
      </c>
      <c r="N1058" t="str">
        <f t="shared" si="173"/>
        <v>Centre de Santé</v>
      </c>
      <c r="O1058" t="str">
        <f t="shared" si="178"/>
        <v>60</v>
      </c>
      <c r="P1058" t="str">
        <f t="shared" si="179"/>
        <v>Association Loi 1901 non Reconnue d'Utilité Publique</v>
      </c>
      <c r="Q1058" t="str">
        <f t="shared" si="174"/>
        <v>36</v>
      </c>
      <c r="R1058" t="str">
        <f t="shared" si="175"/>
        <v>Tarifs conventionnels assurance maladie</v>
      </c>
      <c r="U1058" t="str">
        <f>"750065609"</f>
        <v>750065609</v>
      </c>
    </row>
    <row r="1059" spans="1:21" x14ac:dyDescent="0.3">
      <c r="A1059" t="str">
        <f>"930029764"</f>
        <v>930029764</v>
      </c>
      <c r="B1059" t="str">
        <f>"879 092 161 00014"</f>
        <v>879 092 161 00014</v>
      </c>
      <c r="D1059" t="str">
        <f>"CDS DENTAIREET OPHTALMO GRAND PARIS"</f>
        <v>CDS DENTAIREET OPHTALMO GRAND PARIS</v>
      </c>
      <c r="F1059" t="str">
        <f>"7 AVENUE ANDRE CAMPRA"</f>
        <v>7 AVENUE ANDRE CAMPRA</v>
      </c>
      <c r="H1059" t="str">
        <f>"93200"</f>
        <v>93200</v>
      </c>
      <c r="I1059" t="str">
        <f>"ST DENIS"</f>
        <v>ST DENIS</v>
      </c>
      <c r="J1059" t="str">
        <f>"06 98 98 26 52 "</f>
        <v xml:space="preserve">06 98 98 26 52 </v>
      </c>
      <c r="L1059" s="1">
        <v>43999</v>
      </c>
      <c r="M1059" t="str">
        <f t="shared" si="172"/>
        <v>124</v>
      </c>
      <c r="N1059" t="str">
        <f t="shared" si="173"/>
        <v>Centre de Santé</v>
      </c>
      <c r="O1059" t="str">
        <f t="shared" si="178"/>
        <v>60</v>
      </c>
      <c r="P1059" t="str">
        <f t="shared" si="179"/>
        <v>Association Loi 1901 non Reconnue d'Utilité Publique</v>
      </c>
      <c r="Q1059" t="str">
        <f t="shared" si="174"/>
        <v>36</v>
      </c>
      <c r="R1059" t="str">
        <f t="shared" si="175"/>
        <v>Tarifs conventionnels assurance maladie</v>
      </c>
      <c r="U1059" t="str">
        <f>"930029657"</f>
        <v>930029657</v>
      </c>
    </row>
    <row r="1060" spans="1:21" x14ac:dyDescent="0.3">
      <c r="A1060" t="str">
        <f>"940026347"</f>
        <v>940026347</v>
      </c>
      <c r="B1060" t="str">
        <f>"842 936 049 00027"</f>
        <v>842 936 049 00027</v>
      </c>
      <c r="D1060" t="str">
        <f>"CDS MEDICO DENTAIRE ATHST"</f>
        <v>CDS MEDICO DENTAIRE ATHST</v>
      </c>
      <c r="F1060" t="str">
        <f>"51 RUE HELENE MULLER"</f>
        <v>51 RUE HELENE MULLER</v>
      </c>
      <c r="H1060" t="str">
        <f>"94320"</f>
        <v>94320</v>
      </c>
      <c r="I1060" t="str">
        <f>"THIAIS"</f>
        <v>THIAIS</v>
      </c>
      <c r="J1060" t="str">
        <f>"06 07 40 08 57 "</f>
        <v xml:space="preserve">06 07 40 08 57 </v>
      </c>
      <c r="L1060" s="1">
        <v>43999</v>
      </c>
      <c r="M1060" t="str">
        <f t="shared" si="172"/>
        <v>124</v>
      </c>
      <c r="N1060" t="str">
        <f t="shared" si="173"/>
        <v>Centre de Santé</v>
      </c>
      <c r="O1060" t="str">
        <f t="shared" si="178"/>
        <v>60</v>
      </c>
      <c r="P1060" t="str">
        <f t="shared" si="179"/>
        <v>Association Loi 1901 non Reconnue d'Utilité Publique</v>
      </c>
      <c r="Q1060" t="str">
        <f t="shared" si="174"/>
        <v>36</v>
      </c>
      <c r="R1060" t="str">
        <f t="shared" si="175"/>
        <v>Tarifs conventionnels assurance maladie</v>
      </c>
      <c r="U1060" t="str">
        <f>"930029772"</f>
        <v>930029772</v>
      </c>
    </row>
    <row r="1061" spans="1:21" x14ac:dyDescent="0.3">
      <c r="A1061" t="str">
        <f>"610008997"</f>
        <v>610008997</v>
      </c>
      <c r="B1061" t="str">
        <f>"226 100 014 00175"</f>
        <v>226 100 014 00175</v>
      </c>
      <c r="D1061" t="str">
        <f>"CENTRE TERRITORIAL DE SANTÉ"</f>
        <v>CENTRE TERRITORIAL DE SANTÉ</v>
      </c>
      <c r="F1061" t="str">
        <f>"6 COURS DU CHATEAU"</f>
        <v>6 COURS DU CHATEAU</v>
      </c>
      <c r="H1061" t="str">
        <f>"61170"</f>
        <v>61170</v>
      </c>
      <c r="I1061" t="str">
        <f>"LE MELE SUR SARTHE"</f>
        <v>LE MELE SUR SARTHE</v>
      </c>
      <c r="J1061" t="str">
        <f>"02 33 82 50 00 "</f>
        <v xml:space="preserve">02 33 82 50 00 </v>
      </c>
      <c r="L1061" s="1">
        <v>43997</v>
      </c>
      <c r="M1061" t="str">
        <f t="shared" si="172"/>
        <v>124</v>
      </c>
      <c r="N1061" t="str">
        <f t="shared" si="173"/>
        <v>Centre de Santé</v>
      </c>
      <c r="O1061" t="str">
        <f>"02"</f>
        <v>02</v>
      </c>
      <c r="P1061" t="str">
        <f>"Département"</f>
        <v>Département</v>
      </c>
      <c r="Q1061" t="str">
        <f t="shared" si="174"/>
        <v>36</v>
      </c>
      <c r="R1061" t="str">
        <f t="shared" si="175"/>
        <v>Tarifs conventionnels assurance maladie</v>
      </c>
      <c r="U1061" t="str">
        <f>"610000911"</f>
        <v>610000911</v>
      </c>
    </row>
    <row r="1062" spans="1:21" x14ac:dyDescent="0.3">
      <c r="A1062" t="str">
        <f>"770023000"</f>
        <v>770023000</v>
      </c>
      <c r="B1062" t="str">
        <f>"851 823 260 00027"</f>
        <v>851 823 260 00027</v>
      </c>
      <c r="D1062" t="str">
        <f>"CDS DE L'EST FRANCILIEN"</f>
        <v>CDS DE L'EST FRANCILIEN</v>
      </c>
      <c r="F1062" t="str">
        <f>"56 RUE DU GENERAL LECLERC"</f>
        <v>56 RUE DU GENERAL LECLERC</v>
      </c>
      <c r="H1062" t="str">
        <f>"77100"</f>
        <v>77100</v>
      </c>
      <c r="I1062" t="str">
        <f>"MEAUX"</f>
        <v>MEAUX</v>
      </c>
      <c r="J1062" t="str">
        <f>"01 42 00 20 20 "</f>
        <v xml:space="preserve">01 42 00 20 20 </v>
      </c>
      <c r="L1062" s="1">
        <v>43997</v>
      </c>
      <c r="M1062" t="str">
        <f t="shared" si="172"/>
        <v>124</v>
      </c>
      <c r="N1062" t="str">
        <f t="shared" si="173"/>
        <v>Centre de Santé</v>
      </c>
      <c r="O1062" t="str">
        <f>"60"</f>
        <v>60</v>
      </c>
      <c r="P1062" t="str">
        <f>"Association Loi 1901 non Reconnue d'Utilité Publique"</f>
        <v>Association Loi 1901 non Reconnue d'Utilité Publique</v>
      </c>
      <c r="Q1062" t="str">
        <f t="shared" si="174"/>
        <v>36</v>
      </c>
      <c r="R1062" t="str">
        <f t="shared" si="175"/>
        <v>Tarifs conventionnels assurance maladie</v>
      </c>
      <c r="U1062" t="str">
        <f>"770022978"</f>
        <v>770022978</v>
      </c>
    </row>
    <row r="1063" spans="1:21" x14ac:dyDescent="0.3">
      <c r="A1063" t="str">
        <f>"950045005"</f>
        <v>950045005</v>
      </c>
      <c r="B1063" t="str">
        <f>"879 828 853 00017"</f>
        <v>879 828 853 00017</v>
      </c>
      <c r="D1063" t="str">
        <f>"CDS MEDICAL ET DENTAIRE ARGENTEUIL"</f>
        <v>CDS MEDICAL ET DENTAIRE ARGENTEUIL</v>
      </c>
      <c r="E1063" t="str">
        <f>"1-3"</f>
        <v>1-3</v>
      </c>
      <c r="F1063" t="str">
        <f>"1 RUE THEODRADE"</f>
        <v>1 RUE THEODRADE</v>
      </c>
      <c r="H1063" t="str">
        <f>"95100"</f>
        <v>95100</v>
      </c>
      <c r="I1063" t="str">
        <f>"ARGENTEUIL"</f>
        <v>ARGENTEUIL</v>
      </c>
      <c r="L1063" s="1">
        <v>43997</v>
      </c>
      <c r="M1063" t="str">
        <f t="shared" si="172"/>
        <v>124</v>
      </c>
      <c r="N1063" t="str">
        <f t="shared" si="173"/>
        <v>Centre de Santé</v>
      </c>
      <c r="O1063" t="str">
        <f>"60"</f>
        <v>60</v>
      </c>
      <c r="P1063" t="str">
        <f>"Association Loi 1901 non Reconnue d'Utilité Publique"</f>
        <v>Association Loi 1901 non Reconnue d'Utilité Publique</v>
      </c>
      <c r="Q1063" t="str">
        <f t="shared" si="174"/>
        <v>36</v>
      </c>
      <c r="R1063" t="str">
        <f t="shared" si="175"/>
        <v>Tarifs conventionnels assurance maladie</v>
      </c>
      <c r="U1063" t="str">
        <f>"950044990"</f>
        <v>950044990</v>
      </c>
    </row>
    <row r="1064" spans="1:21" x14ac:dyDescent="0.3">
      <c r="A1064" t="str">
        <f>"680022464"</f>
        <v>680022464</v>
      </c>
      <c r="B1064" t="str">
        <f>"216 803 056 00011"</f>
        <v>216 803 056 00011</v>
      </c>
      <c r="D1064" t="str">
        <f>"CDS POLE MEDICAL DE LA LARGUE"</f>
        <v>CDS POLE MEDICAL DE LA LARGUE</v>
      </c>
      <c r="F1064" t="str">
        <f>"8 PLACE DU MARCHE"</f>
        <v>8 PLACE DU MARCHE</v>
      </c>
      <c r="H1064" t="str">
        <f>"68580"</f>
        <v>68580</v>
      </c>
      <c r="I1064" t="str">
        <f>"SEPPOIS LE BAS"</f>
        <v>SEPPOIS LE BAS</v>
      </c>
      <c r="J1064" t="str">
        <f>"03 89 25 60 07 "</f>
        <v xml:space="preserve">03 89 25 60 07 </v>
      </c>
      <c r="L1064" s="1">
        <v>43992</v>
      </c>
      <c r="M1064" t="str">
        <f t="shared" si="172"/>
        <v>124</v>
      </c>
      <c r="N1064" t="str">
        <f t="shared" si="173"/>
        <v>Centre de Santé</v>
      </c>
      <c r="O1064" t="str">
        <f>"03"</f>
        <v>03</v>
      </c>
      <c r="P1064" t="str">
        <f>"Commune"</f>
        <v>Commune</v>
      </c>
      <c r="Q1064" t="str">
        <f t="shared" si="174"/>
        <v>36</v>
      </c>
      <c r="R1064" t="str">
        <f t="shared" si="175"/>
        <v>Tarifs conventionnels assurance maladie</v>
      </c>
      <c r="U1064" t="str">
        <f>"680022456"</f>
        <v>680022456</v>
      </c>
    </row>
    <row r="1065" spans="1:21" x14ac:dyDescent="0.3">
      <c r="A1065" t="str">
        <f>"940026214"</f>
        <v>940026214</v>
      </c>
      <c r="B1065" t="str">
        <f>"881 181 903 00017"</f>
        <v>881 181 903 00017</v>
      </c>
      <c r="D1065" t="str">
        <f>"CDS OPHTALMOLOGIQE DE CHOISY LE ROI"</f>
        <v>CDS OPHTALMOLOGIQE DE CHOISY LE ROI</v>
      </c>
      <c r="F1065" t="str">
        <f>"5 AVENUE JEAN JAURES"</f>
        <v>5 AVENUE JEAN JAURES</v>
      </c>
      <c r="H1065" t="str">
        <f>"94600"</f>
        <v>94600</v>
      </c>
      <c r="I1065" t="str">
        <f>"CHOISY LE ROI"</f>
        <v>CHOISY LE ROI</v>
      </c>
      <c r="L1065" s="1">
        <v>43991</v>
      </c>
      <c r="M1065" t="str">
        <f t="shared" si="172"/>
        <v>124</v>
      </c>
      <c r="N1065" t="str">
        <f t="shared" si="173"/>
        <v>Centre de Santé</v>
      </c>
      <c r="O1065" t="str">
        <f t="shared" ref="O1065:O1075" si="180">"60"</f>
        <v>60</v>
      </c>
      <c r="P1065" t="str">
        <f t="shared" ref="P1065:P1075" si="181">"Association Loi 1901 non Reconnue d'Utilité Publique"</f>
        <v>Association Loi 1901 non Reconnue d'Utilité Publique</v>
      </c>
      <c r="Q1065" t="str">
        <f t="shared" si="174"/>
        <v>36</v>
      </c>
      <c r="R1065" t="str">
        <f t="shared" si="175"/>
        <v>Tarifs conventionnels assurance maladie</v>
      </c>
      <c r="U1065" t="str">
        <f>"940026156"</f>
        <v>940026156</v>
      </c>
    </row>
    <row r="1066" spans="1:21" x14ac:dyDescent="0.3">
      <c r="A1066" t="str">
        <f>"750065559"</f>
        <v>750065559</v>
      </c>
      <c r="B1066" t="str">
        <f>"882 596 869 00017"</f>
        <v>882 596 869 00017</v>
      </c>
      <c r="D1066" t="str">
        <f>"CDS OPTIMODON"</f>
        <v>CDS OPTIMODON</v>
      </c>
      <c r="F1066" t="str">
        <f>"6 RUE BOUTIN"</f>
        <v>6 RUE BOUTIN</v>
      </c>
      <c r="H1066" t="str">
        <f>"75013"</f>
        <v>75013</v>
      </c>
      <c r="I1066" t="str">
        <f>"PARIS"</f>
        <v>PARIS</v>
      </c>
      <c r="L1066" s="1">
        <v>43990</v>
      </c>
      <c r="M1066" t="str">
        <f t="shared" si="172"/>
        <v>124</v>
      </c>
      <c r="N1066" t="str">
        <f t="shared" si="173"/>
        <v>Centre de Santé</v>
      </c>
      <c r="O1066" t="str">
        <f t="shared" si="180"/>
        <v>60</v>
      </c>
      <c r="P1066" t="str">
        <f t="shared" si="181"/>
        <v>Association Loi 1901 non Reconnue d'Utilité Publique</v>
      </c>
      <c r="Q1066" t="str">
        <f t="shared" ref="Q1066:Q1085" si="182">"36"</f>
        <v>36</v>
      </c>
      <c r="R1066" t="str">
        <f t="shared" ref="R1066:R1085" si="183">"Tarifs conventionnels assurance maladie"</f>
        <v>Tarifs conventionnels assurance maladie</v>
      </c>
      <c r="U1066" t="str">
        <f>"750065542"</f>
        <v>750065542</v>
      </c>
    </row>
    <row r="1067" spans="1:21" x14ac:dyDescent="0.3">
      <c r="A1067" t="str">
        <f>"750065567"</f>
        <v>750065567</v>
      </c>
      <c r="B1067" t="str">
        <f>"817 731 888 00027"</f>
        <v>817 731 888 00027</v>
      </c>
      <c r="D1067" t="str">
        <f>"CDS DENTAIRE NOTRE DAME DE LORETTE"</f>
        <v>CDS DENTAIRE NOTRE DAME DE LORETTE</v>
      </c>
      <c r="F1067" t="str">
        <f>"13 PLACE KOSSUTH"</f>
        <v>13 PLACE KOSSUTH</v>
      </c>
      <c r="H1067" t="str">
        <f>"75009"</f>
        <v>75009</v>
      </c>
      <c r="I1067" t="str">
        <f>"PARIS"</f>
        <v>PARIS</v>
      </c>
      <c r="J1067" t="str">
        <f>"06 71 24 28 50 "</f>
        <v xml:space="preserve">06 71 24 28 50 </v>
      </c>
      <c r="L1067" s="1">
        <v>43990</v>
      </c>
      <c r="M1067" t="str">
        <f t="shared" si="172"/>
        <v>124</v>
      </c>
      <c r="N1067" t="str">
        <f t="shared" si="173"/>
        <v>Centre de Santé</v>
      </c>
      <c r="O1067" t="str">
        <f t="shared" si="180"/>
        <v>60</v>
      </c>
      <c r="P1067" t="str">
        <f t="shared" si="181"/>
        <v>Association Loi 1901 non Reconnue d'Utilité Publique</v>
      </c>
      <c r="Q1067" t="str">
        <f t="shared" si="182"/>
        <v>36</v>
      </c>
      <c r="R1067" t="str">
        <f t="shared" si="183"/>
        <v>Tarifs conventionnels assurance maladie</v>
      </c>
      <c r="U1067" t="str">
        <f>"750058521"</f>
        <v>750058521</v>
      </c>
    </row>
    <row r="1068" spans="1:21" x14ac:dyDescent="0.3">
      <c r="A1068" t="str">
        <f>"750065583"</f>
        <v>750065583</v>
      </c>
      <c r="B1068" t="str">
        <f>"878 924 851 00016"</f>
        <v>878 924 851 00016</v>
      </c>
      <c r="D1068" t="str">
        <f>"CDS DENTAIRE DE PASSY"</f>
        <v>CDS DENTAIRE DE PASSY</v>
      </c>
      <c r="F1068" t="str">
        <f>"19 RUE DE PASSY"</f>
        <v>19 RUE DE PASSY</v>
      </c>
      <c r="H1068" t="str">
        <f>"75016"</f>
        <v>75016</v>
      </c>
      <c r="I1068" t="str">
        <f>"PARIS"</f>
        <v>PARIS</v>
      </c>
      <c r="J1068" t="str">
        <f>"01 88 88 09 09 "</f>
        <v xml:space="preserve">01 88 88 09 09 </v>
      </c>
      <c r="K1068" t="str">
        <f>"01 87 44 46 76"</f>
        <v>01 87 44 46 76</v>
      </c>
      <c r="L1068" s="1">
        <v>43990</v>
      </c>
      <c r="M1068" t="str">
        <f t="shared" si="172"/>
        <v>124</v>
      </c>
      <c r="N1068" t="str">
        <f t="shared" si="173"/>
        <v>Centre de Santé</v>
      </c>
      <c r="O1068" t="str">
        <f t="shared" si="180"/>
        <v>60</v>
      </c>
      <c r="P1068" t="str">
        <f t="shared" si="181"/>
        <v>Association Loi 1901 non Reconnue d'Utilité Publique</v>
      </c>
      <c r="Q1068" t="str">
        <f t="shared" si="182"/>
        <v>36</v>
      </c>
      <c r="R1068" t="str">
        <f t="shared" si="183"/>
        <v>Tarifs conventionnels assurance maladie</v>
      </c>
      <c r="U1068" t="str">
        <f>"750065575"</f>
        <v>750065575</v>
      </c>
    </row>
    <row r="1069" spans="1:21" x14ac:dyDescent="0.3">
      <c r="A1069" t="str">
        <f>"750065641"</f>
        <v>750065641</v>
      </c>
      <c r="B1069" t="str">
        <f>"881 210 512 00011"</f>
        <v>881 210 512 00011</v>
      </c>
      <c r="D1069" t="str">
        <f>"CDS MEDICO DENTAIRE PLACE CLICHY"</f>
        <v>CDS MEDICO DENTAIRE PLACE CLICHY</v>
      </c>
      <c r="F1069" t="str">
        <f>"12 PLACE DE CLICHY"</f>
        <v>12 PLACE DE CLICHY</v>
      </c>
      <c r="H1069" t="str">
        <f>"75009"</f>
        <v>75009</v>
      </c>
      <c r="I1069" t="str">
        <f>"PARIS"</f>
        <v>PARIS</v>
      </c>
      <c r="J1069" t="str">
        <f>"06 64 39 75 06 "</f>
        <v xml:space="preserve">06 64 39 75 06 </v>
      </c>
      <c r="L1069" s="1">
        <v>43990</v>
      </c>
      <c r="M1069" t="str">
        <f t="shared" si="172"/>
        <v>124</v>
      </c>
      <c r="N1069" t="str">
        <f t="shared" si="173"/>
        <v>Centre de Santé</v>
      </c>
      <c r="O1069" t="str">
        <f t="shared" si="180"/>
        <v>60</v>
      </c>
      <c r="P1069" t="str">
        <f t="shared" si="181"/>
        <v>Association Loi 1901 non Reconnue d'Utilité Publique</v>
      </c>
      <c r="Q1069" t="str">
        <f t="shared" si="182"/>
        <v>36</v>
      </c>
      <c r="R1069" t="str">
        <f t="shared" si="183"/>
        <v>Tarifs conventionnels assurance maladie</v>
      </c>
      <c r="U1069" t="str">
        <f>"750065633"</f>
        <v>750065633</v>
      </c>
    </row>
    <row r="1070" spans="1:21" x14ac:dyDescent="0.3">
      <c r="A1070" t="str">
        <f>"750065674"</f>
        <v>750065674</v>
      </c>
      <c r="B1070" t="str">
        <f>"880 914 809 00012"</f>
        <v>880 914 809 00012</v>
      </c>
      <c r="D1070" t="str">
        <f>"CDS DENTAIRE DENTALPLAN OPERA"</f>
        <v>CDS DENTAIRE DENTALPLAN OPERA</v>
      </c>
      <c r="F1070" t="str">
        <f>"26 RUE DU QUATRE SEPTEMBRE"</f>
        <v>26 RUE DU QUATRE SEPTEMBRE</v>
      </c>
      <c r="H1070" t="str">
        <f>"75002"</f>
        <v>75002</v>
      </c>
      <c r="I1070" t="str">
        <f>"PARIS"</f>
        <v>PARIS</v>
      </c>
      <c r="J1070" t="str">
        <f>"07 68 81 27 58 "</f>
        <v xml:space="preserve">07 68 81 27 58 </v>
      </c>
      <c r="L1070" s="1">
        <v>43990</v>
      </c>
      <c r="M1070" t="str">
        <f t="shared" si="172"/>
        <v>124</v>
      </c>
      <c r="N1070" t="str">
        <f t="shared" si="173"/>
        <v>Centre de Santé</v>
      </c>
      <c r="O1070" t="str">
        <f t="shared" si="180"/>
        <v>60</v>
      </c>
      <c r="P1070" t="str">
        <f t="shared" si="181"/>
        <v>Association Loi 1901 non Reconnue d'Utilité Publique</v>
      </c>
      <c r="Q1070" t="str">
        <f t="shared" si="182"/>
        <v>36</v>
      </c>
      <c r="R1070" t="str">
        <f t="shared" si="183"/>
        <v>Tarifs conventionnels assurance maladie</v>
      </c>
      <c r="U1070" t="str">
        <f>"750065666"</f>
        <v>750065666</v>
      </c>
    </row>
    <row r="1071" spans="1:21" x14ac:dyDescent="0.3">
      <c r="A1071" t="str">
        <f>"760038539"</f>
        <v>760038539</v>
      </c>
      <c r="B1071" t="str">
        <f>"852 929 645 00012"</f>
        <v>852 929 645 00012</v>
      </c>
      <c r="D1071" t="str">
        <f>"CENTRE D'ORTHODONTIE RIVE GAUCHE"</f>
        <v>CENTRE D'ORTHODONTIE RIVE GAUCHE</v>
      </c>
      <c r="F1071" t="str">
        <f>"1 RUE JEAN RACINE"</f>
        <v>1 RUE JEAN RACINE</v>
      </c>
      <c r="H1071" t="str">
        <f>"76120"</f>
        <v>76120</v>
      </c>
      <c r="I1071" t="str">
        <f>"LE GRAND QUEVILLY"</f>
        <v>LE GRAND QUEVILLY</v>
      </c>
      <c r="J1071" t="str">
        <f>"02 35 18 07 92 "</f>
        <v xml:space="preserve">02 35 18 07 92 </v>
      </c>
      <c r="L1071" s="1">
        <v>43990</v>
      </c>
      <c r="M1071" t="str">
        <f t="shared" si="172"/>
        <v>124</v>
      </c>
      <c r="N1071" t="str">
        <f t="shared" si="173"/>
        <v>Centre de Santé</v>
      </c>
      <c r="O1071" t="str">
        <f t="shared" si="180"/>
        <v>60</v>
      </c>
      <c r="P1071" t="str">
        <f t="shared" si="181"/>
        <v>Association Loi 1901 non Reconnue d'Utilité Publique</v>
      </c>
      <c r="Q1071" t="str">
        <f t="shared" si="182"/>
        <v>36</v>
      </c>
      <c r="R1071" t="str">
        <f t="shared" si="183"/>
        <v>Tarifs conventionnels assurance maladie</v>
      </c>
      <c r="U1071" t="str">
        <f>"760038521"</f>
        <v>760038521</v>
      </c>
    </row>
    <row r="1072" spans="1:21" x14ac:dyDescent="0.3">
      <c r="A1072" t="str">
        <f>"770023414"</f>
        <v>770023414</v>
      </c>
      <c r="B1072" t="str">
        <f>"880 295 936 00012"</f>
        <v>880 295 936 00012</v>
      </c>
      <c r="D1072" t="str">
        <f>"CDS MEDICO DENTAIRE GARE DE PONTAULT"</f>
        <v>CDS MEDICO DENTAIRE GARE DE PONTAULT</v>
      </c>
      <c r="F1072" t="str">
        <f>"20 AVENUE DE LA GARE"</f>
        <v>20 AVENUE DE LA GARE</v>
      </c>
      <c r="H1072" t="str">
        <f>"77340"</f>
        <v>77340</v>
      </c>
      <c r="I1072" t="str">
        <f>"PONTAULT COMBAULT"</f>
        <v>PONTAULT COMBAULT</v>
      </c>
      <c r="L1072" s="1">
        <v>43990</v>
      </c>
      <c r="M1072" t="str">
        <f t="shared" si="172"/>
        <v>124</v>
      </c>
      <c r="N1072" t="str">
        <f t="shared" si="173"/>
        <v>Centre de Santé</v>
      </c>
      <c r="O1072" t="str">
        <f t="shared" si="180"/>
        <v>60</v>
      </c>
      <c r="P1072" t="str">
        <f t="shared" si="181"/>
        <v>Association Loi 1901 non Reconnue d'Utilité Publique</v>
      </c>
      <c r="Q1072" t="str">
        <f t="shared" si="182"/>
        <v>36</v>
      </c>
      <c r="R1072" t="str">
        <f t="shared" si="183"/>
        <v>Tarifs conventionnels assurance maladie</v>
      </c>
      <c r="U1072" t="str">
        <f>"770023372"</f>
        <v>770023372</v>
      </c>
    </row>
    <row r="1073" spans="1:21" x14ac:dyDescent="0.3">
      <c r="A1073" t="str">
        <f>"770023430"</f>
        <v>770023430</v>
      </c>
      <c r="B1073" t="str">
        <f>"879 548 410 00015"</f>
        <v>879 548 410 00015</v>
      </c>
      <c r="D1073" t="str">
        <f>"CDS DENTAIRE BUSSY SAINT GEORGES"</f>
        <v>CDS DENTAIRE BUSSY SAINT GEORGES</v>
      </c>
      <c r="F1073" t="str">
        <f>"7 RUE CARTIER"</f>
        <v>7 RUE CARTIER</v>
      </c>
      <c r="G1073" t="str">
        <f>"IMMEUBLE CARTIER"</f>
        <v>IMMEUBLE CARTIER</v>
      </c>
      <c r="H1073" t="str">
        <f>"77600"</f>
        <v>77600</v>
      </c>
      <c r="I1073" t="str">
        <f>"BUSSY ST GEORGES"</f>
        <v>BUSSY ST GEORGES</v>
      </c>
      <c r="J1073" t="str">
        <f>"06 86 86 14 79 "</f>
        <v xml:space="preserve">06 86 86 14 79 </v>
      </c>
      <c r="L1073" s="1">
        <v>43990</v>
      </c>
      <c r="M1073" t="str">
        <f t="shared" si="172"/>
        <v>124</v>
      </c>
      <c r="N1073" t="str">
        <f t="shared" si="173"/>
        <v>Centre de Santé</v>
      </c>
      <c r="O1073" t="str">
        <f t="shared" si="180"/>
        <v>60</v>
      </c>
      <c r="P1073" t="str">
        <f t="shared" si="181"/>
        <v>Association Loi 1901 non Reconnue d'Utilité Publique</v>
      </c>
      <c r="Q1073" t="str">
        <f t="shared" si="182"/>
        <v>36</v>
      </c>
      <c r="R1073" t="str">
        <f t="shared" si="183"/>
        <v>Tarifs conventionnels assurance maladie</v>
      </c>
      <c r="U1073" t="str">
        <f>"770023422"</f>
        <v>770023422</v>
      </c>
    </row>
    <row r="1074" spans="1:21" x14ac:dyDescent="0.3">
      <c r="A1074" t="str">
        <f>"770023455"</f>
        <v>770023455</v>
      </c>
      <c r="B1074" t="str">
        <f>"881 180 269 00014"</f>
        <v>881 180 269 00014</v>
      </c>
      <c r="D1074" t="str">
        <f>"CDS DENTAIRE ORALEXPERT"</f>
        <v>CDS DENTAIRE ORALEXPERT</v>
      </c>
      <c r="F1074" t="str">
        <f>"10 AVENUE DES CHENES"</f>
        <v>10 AVENUE DES CHENES</v>
      </c>
      <c r="H1074" t="str">
        <f>"77270"</f>
        <v>77270</v>
      </c>
      <c r="I1074" t="str">
        <f>"VILLEPARISIS"</f>
        <v>VILLEPARISIS</v>
      </c>
      <c r="J1074" t="str">
        <f>"06 52 31 94 50 "</f>
        <v xml:space="preserve">06 52 31 94 50 </v>
      </c>
      <c r="L1074" s="1">
        <v>43990</v>
      </c>
      <c r="M1074" t="str">
        <f t="shared" si="172"/>
        <v>124</v>
      </c>
      <c r="N1074" t="str">
        <f t="shared" si="173"/>
        <v>Centre de Santé</v>
      </c>
      <c r="O1074" t="str">
        <f t="shared" si="180"/>
        <v>60</v>
      </c>
      <c r="P1074" t="str">
        <f t="shared" si="181"/>
        <v>Association Loi 1901 non Reconnue d'Utilité Publique</v>
      </c>
      <c r="Q1074" t="str">
        <f t="shared" si="182"/>
        <v>36</v>
      </c>
      <c r="R1074" t="str">
        <f t="shared" si="183"/>
        <v>Tarifs conventionnels assurance maladie</v>
      </c>
      <c r="U1074" t="str">
        <f>"770023448"</f>
        <v>770023448</v>
      </c>
    </row>
    <row r="1075" spans="1:21" x14ac:dyDescent="0.3">
      <c r="A1075" t="str">
        <f>"780027900"</f>
        <v>780027900</v>
      </c>
      <c r="B1075" t="str">
        <f>"879 920 288 00013"</f>
        <v>879 920 288 00013</v>
      </c>
      <c r="D1075" t="str">
        <f>"CDS DENTAIRE GUYANCOURT"</f>
        <v>CDS DENTAIRE GUYANCOURT</v>
      </c>
      <c r="F1075" t="str">
        <f>"5 RUE PHILIBERT DELORME"</f>
        <v>5 RUE PHILIBERT DELORME</v>
      </c>
      <c r="H1075" t="str">
        <f>"78280"</f>
        <v>78280</v>
      </c>
      <c r="I1075" t="str">
        <f>"GUYANCOURT"</f>
        <v>GUYANCOURT</v>
      </c>
      <c r="J1075" t="str">
        <f>"01 39 44 05 15 "</f>
        <v xml:space="preserve">01 39 44 05 15 </v>
      </c>
      <c r="L1075" s="1">
        <v>43990</v>
      </c>
      <c r="M1075" t="str">
        <f t="shared" si="172"/>
        <v>124</v>
      </c>
      <c r="N1075" t="str">
        <f t="shared" si="173"/>
        <v>Centre de Santé</v>
      </c>
      <c r="O1075" t="str">
        <f t="shared" si="180"/>
        <v>60</v>
      </c>
      <c r="P1075" t="str">
        <f t="shared" si="181"/>
        <v>Association Loi 1901 non Reconnue d'Utilité Publique</v>
      </c>
      <c r="Q1075" t="str">
        <f t="shared" si="182"/>
        <v>36</v>
      </c>
      <c r="R1075" t="str">
        <f t="shared" si="183"/>
        <v>Tarifs conventionnels assurance maladie</v>
      </c>
      <c r="U1075" t="str">
        <f>"750065708"</f>
        <v>750065708</v>
      </c>
    </row>
    <row r="1076" spans="1:21" x14ac:dyDescent="0.3">
      <c r="A1076" t="str">
        <f>"890010010"</f>
        <v>890010010</v>
      </c>
      <c r="B1076" t="str">
        <f>"228 900 015 00253"</f>
        <v>228 900 015 00253</v>
      </c>
      <c r="D1076" t="str">
        <f>"CENTRE DE SANTE SOLIDARITES"</f>
        <v>CENTRE DE SANTE SOLIDARITES</v>
      </c>
      <c r="F1076" t="str">
        <f>"10 RUE RENOIR"</f>
        <v>10 RUE RENOIR</v>
      </c>
      <c r="H1076" t="str">
        <f>"89000"</f>
        <v>89000</v>
      </c>
      <c r="I1076" t="str">
        <f>"AUXERRE"</f>
        <v>AUXERRE</v>
      </c>
      <c r="J1076" t="str">
        <f>"03 86 72 74 74 "</f>
        <v xml:space="preserve">03 86 72 74 74 </v>
      </c>
      <c r="L1076" s="1">
        <v>43990</v>
      </c>
      <c r="M1076" t="str">
        <f t="shared" si="172"/>
        <v>124</v>
      </c>
      <c r="N1076" t="str">
        <f t="shared" si="173"/>
        <v>Centre de Santé</v>
      </c>
      <c r="O1076" t="str">
        <f>"02"</f>
        <v>02</v>
      </c>
      <c r="P1076" t="str">
        <f>"Département"</f>
        <v>Département</v>
      </c>
      <c r="Q1076" t="str">
        <f t="shared" si="182"/>
        <v>36</v>
      </c>
      <c r="R1076" t="str">
        <f t="shared" si="183"/>
        <v>Tarifs conventionnels assurance maladie</v>
      </c>
      <c r="U1076" t="str">
        <f>"890972250"</f>
        <v>890972250</v>
      </c>
    </row>
    <row r="1077" spans="1:21" x14ac:dyDescent="0.3">
      <c r="A1077" t="str">
        <f>"920036456"</f>
        <v>920036456</v>
      </c>
      <c r="B1077" t="str">
        <f>"880 623 327 00017"</f>
        <v>880 623 327 00017</v>
      </c>
      <c r="D1077" t="str">
        <f>"CDS DENTAIRE DE L ESPACE CLICHY"</f>
        <v>CDS DENTAIRE DE L ESPACE CLICHY</v>
      </c>
      <c r="F1077" t="str">
        <f>"41 RUE MADAME DE SANZILLON"</f>
        <v>41 RUE MADAME DE SANZILLON</v>
      </c>
      <c r="H1077" t="str">
        <f>"92110"</f>
        <v>92110</v>
      </c>
      <c r="I1077" t="str">
        <f>"CLICHY"</f>
        <v>CLICHY</v>
      </c>
      <c r="L1077" s="1">
        <v>43990</v>
      </c>
      <c r="M1077" t="str">
        <f t="shared" si="172"/>
        <v>124</v>
      </c>
      <c r="N1077" t="str">
        <f t="shared" si="173"/>
        <v>Centre de Santé</v>
      </c>
      <c r="O1077" t="str">
        <f t="shared" ref="O1077:O1084" si="184">"60"</f>
        <v>60</v>
      </c>
      <c r="P1077" t="str">
        <f t="shared" ref="P1077:P1084" si="185">"Association Loi 1901 non Reconnue d'Utilité Publique"</f>
        <v>Association Loi 1901 non Reconnue d'Utilité Publique</v>
      </c>
      <c r="Q1077" t="str">
        <f t="shared" si="182"/>
        <v>36</v>
      </c>
      <c r="R1077" t="str">
        <f t="shared" si="183"/>
        <v>Tarifs conventionnels assurance maladie</v>
      </c>
      <c r="U1077" t="str">
        <f>"920036449"</f>
        <v>920036449</v>
      </c>
    </row>
    <row r="1078" spans="1:21" x14ac:dyDescent="0.3">
      <c r="A1078" t="str">
        <f>"920036472"</f>
        <v>920036472</v>
      </c>
      <c r="B1078" t="str">
        <f>"877 584 052 00022"</f>
        <v>877 584 052 00022</v>
      </c>
      <c r="D1078" t="str">
        <f>"CDS DENTAIRE ODONTALIA"</f>
        <v>CDS DENTAIRE ODONTALIA</v>
      </c>
      <c r="E1078" t="str">
        <f>"53-55"</f>
        <v>53-55</v>
      </c>
      <c r="F1078" t="str">
        <f>"53 RUE FENELON"</f>
        <v>53 RUE FENELON</v>
      </c>
      <c r="H1078" t="str">
        <f>"92120"</f>
        <v>92120</v>
      </c>
      <c r="I1078" t="str">
        <f>"MONTROUGE"</f>
        <v>MONTROUGE</v>
      </c>
      <c r="J1078" t="str">
        <f>"01 42 37 85 09 "</f>
        <v xml:space="preserve">01 42 37 85 09 </v>
      </c>
      <c r="L1078" s="1">
        <v>43990</v>
      </c>
      <c r="M1078" t="str">
        <f t="shared" si="172"/>
        <v>124</v>
      </c>
      <c r="N1078" t="str">
        <f t="shared" si="173"/>
        <v>Centre de Santé</v>
      </c>
      <c r="O1078" t="str">
        <f t="shared" si="184"/>
        <v>60</v>
      </c>
      <c r="P1078" t="str">
        <f t="shared" si="185"/>
        <v>Association Loi 1901 non Reconnue d'Utilité Publique</v>
      </c>
      <c r="Q1078" t="str">
        <f t="shared" si="182"/>
        <v>36</v>
      </c>
      <c r="R1078" t="str">
        <f t="shared" si="183"/>
        <v>Tarifs conventionnels assurance maladie</v>
      </c>
      <c r="U1078" t="str">
        <f>"920036464"</f>
        <v>920036464</v>
      </c>
    </row>
    <row r="1079" spans="1:21" x14ac:dyDescent="0.3">
      <c r="A1079" t="str">
        <f>"920036514"</f>
        <v>920036514</v>
      </c>
      <c r="B1079" t="str">
        <f>"879 920 098 00024"</f>
        <v>879 920 098 00024</v>
      </c>
      <c r="D1079" t="str">
        <f>"CDS DENTAIRE BOIS COLOMBES"</f>
        <v>CDS DENTAIRE BOIS COLOMBES</v>
      </c>
      <c r="F1079" t="str">
        <f>"79 RUE DES BOURGUIGNONS"</f>
        <v>79 RUE DES BOURGUIGNONS</v>
      </c>
      <c r="H1079" t="str">
        <f>"92270"</f>
        <v>92270</v>
      </c>
      <c r="I1079" t="str">
        <f>"BOIS COLOMBES"</f>
        <v>BOIS COLOMBES</v>
      </c>
      <c r="J1079" t="str">
        <f>"06 21 99 25 80 "</f>
        <v xml:space="preserve">06 21 99 25 80 </v>
      </c>
      <c r="L1079" s="1">
        <v>43990</v>
      </c>
      <c r="M1079" t="str">
        <f t="shared" si="172"/>
        <v>124</v>
      </c>
      <c r="N1079" t="str">
        <f t="shared" si="173"/>
        <v>Centre de Santé</v>
      </c>
      <c r="O1079" t="str">
        <f t="shared" si="184"/>
        <v>60</v>
      </c>
      <c r="P1079" t="str">
        <f t="shared" si="185"/>
        <v>Association Loi 1901 non Reconnue d'Utilité Publique</v>
      </c>
      <c r="Q1079" t="str">
        <f t="shared" si="182"/>
        <v>36</v>
      </c>
      <c r="R1079" t="str">
        <f t="shared" si="183"/>
        <v>Tarifs conventionnels assurance maladie</v>
      </c>
      <c r="U1079" t="str">
        <f>"920036506"</f>
        <v>920036506</v>
      </c>
    </row>
    <row r="1080" spans="1:21" x14ac:dyDescent="0.3">
      <c r="A1080" t="str">
        <f>"940026289"</f>
        <v>940026289</v>
      </c>
      <c r="D1080" t="str">
        <f>"CDS DE FRESNES"</f>
        <v>CDS DE FRESNES</v>
      </c>
      <c r="F1080" t="str">
        <f>"20 RUE DU DOCTEUR CHARCOT"</f>
        <v>20 RUE DU DOCTEUR CHARCOT</v>
      </c>
      <c r="H1080" t="str">
        <f>"94260"</f>
        <v>94260</v>
      </c>
      <c r="I1080" t="str">
        <f>"FRESNES"</f>
        <v>FRESNES</v>
      </c>
      <c r="L1080" s="1">
        <v>43990</v>
      </c>
      <c r="M1080" t="str">
        <f t="shared" si="172"/>
        <v>124</v>
      </c>
      <c r="N1080" t="str">
        <f t="shared" si="173"/>
        <v>Centre de Santé</v>
      </c>
      <c r="O1080" t="str">
        <f t="shared" si="184"/>
        <v>60</v>
      </c>
      <c r="P1080" t="str">
        <f t="shared" si="185"/>
        <v>Association Loi 1901 non Reconnue d'Utilité Publique</v>
      </c>
      <c r="Q1080" t="str">
        <f t="shared" si="182"/>
        <v>36</v>
      </c>
      <c r="R1080" t="str">
        <f t="shared" si="183"/>
        <v>Tarifs conventionnels assurance maladie</v>
      </c>
      <c r="U1080" t="str">
        <f>"940026271"</f>
        <v>940026271</v>
      </c>
    </row>
    <row r="1081" spans="1:21" x14ac:dyDescent="0.3">
      <c r="A1081" t="str">
        <f>"940026297"</f>
        <v>940026297</v>
      </c>
      <c r="D1081" t="str">
        <f>"CDS MEDICAL DENTAIRE FONTENAY SS BOIS"</f>
        <v>CDS MEDICAL DENTAIRE FONTENAY SS BOIS</v>
      </c>
      <c r="F1081" t="str">
        <f>"3 PLACE MOREAU DAVID"</f>
        <v>3 PLACE MOREAU DAVID</v>
      </c>
      <c r="H1081" t="str">
        <f>"94120"</f>
        <v>94120</v>
      </c>
      <c r="I1081" t="str">
        <f>"FONTENAY SOUS BOIS"</f>
        <v>FONTENAY SOUS BOIS</v>
      </c>
      <c r="L1081" s="1">
        <v>43990</v>
      </c>
      <c r="M1081" t="str">
        <f t="shared" si="172"/>
        <v>124</v>
      </c>
      <c r="N1081" t="str">
        <f t="shared" si="173"/>
        <v>Centre de Santé</v>
      </c>
      <c r="O1081" t="str">
        <f t="shared" si="184"/>
        <v>60</v>
      </c>
      <c r="P1081" t="str">
        <f t="shared" si="185"/>
        <v>Association Loi 1901 non Reconnue d'Utilité Publique</v>
      </c>
      <c r="Q1081" t="str">
        <f t="shared" si="182"/>
        <v>36</v>
      </c>
      <c r="R1081" t="str">
        <f t="shared" si="183"/>
        <v>Tarifs conventionnels assurance maladie</v>
      </c>
      <c r="U1081" t="str">
        <f>"750050577"</f>
        <v>750050577</v>
      </c>
    </row>
    <row r="1082" spans="1:21" x14ac:dyDescent="0.3">
      <c r="A1082" t="str">
        <f>"940026313"</f>
        <v>940026313</v>
      </c>
      <c r="B1082" t="str">
        <f>"878 309 947 00017"</f>
        <v>878 309 947 00017</v>
      </c>
      <c r="D1082" t="str">
        <f>"CDS MEDICO DENTAIRE D ORLY"</f>
        <v>CDS MEDICO DENTAIRE D ORLY</v>
      </c>
      <c r="F1082" t="str">
        <f>"4 VOIE DES SAULES"</f>
        <v>4 VOIE DES SAULES</v>
      </c>
      <c r="H1082" t="str">
        <f>"94310"</f>
        <v>94310</v>
      </c>
      <c r="I1082" t="str">
        <f>"ORLY"</f>
        <v>ORLY</v>
      </c>
      <c r="L1082" s="1">
        <v>43990</v>
      </c>
      <c r="M1082" t="str">
        <f t="shared" si="172"/>
        <v>124</v>
      </c>
      <c r="N1082" t="str">
        <f t="shared" si="173"/>
        <v>Centre de Santé</v>
      </c>
      <c r="O1082" t="str">
        <f t="shared" si="184"/>
        <v>60</v>
      </c>
      <c r="P1082" t="str">
        <f t="shared" si="185"/>
        <v>Association Loi 1901 non Reconnue d'Utilité Publique</v>
      </c>
      <c r="Q1082" t="str">
        <f t="shared" si="182"/>
        <v>36</v>
      </c>
      <c r="R1082" t="str">
        <f t="shared" si="183"/>
        <v>Tarifs conventionnels assurance maladie</v>
      </c>
      <c r="U1082" t="str">
        <f>"940026305"</f>
        <v>940026305</v>
      </c>
    </row>
    <row r="1083" spans="1:21" x14ac:dyDescent="0.3">
      <c r="A1083" t="str">
        <f>"560030058"</f>
        <v>560030058</v>
      </c>
      <c r="B1083" t="str">
        <f>"882 255 763 00014"</f>
        <v>882 255 763 00014</v>
      </c>
      <c r="D1083" t="str">
        <f>"CDS OPHTALMOLOGIQUE DE LORIENT"</f>
        <v>CDS OPHTALMOLOGIQUE DE LORIENT</v>
      </c>
      <c r="F1083" t="str">
        <f>"62 RUE MONISTROL"</f>
        <v>62 RUE MONISTROL</v>
      </c>
      <c r="H1083" t="str">
        <f>"56100"</f>
        <v>56100</v>
      </c>
      <c r="I1083" t="str">
        <f>"LORIENT"</f>
        <v>LORIENT</v>
      </c>
      <c r="J1083" t="str">
        <f>"01 77 37 36 39 "</f>
        <v xml:space="preserve">01 77 37 36 39 </v>
      </c>
      <c r="L1083" s="1">
        <v>43986</v>
      </c>
      <c r="M1083" t="str">
        <f t="shared" si="172"/>
        <v>124</v>
      </c>
      <c r="N1083" t="str">
        <f t="shared" si="173"/>
        <v>Centre de Santé</v>
      </c>
      <c r="O1083" t="str">
        <f t="shared" si="184"/>
        <v>60</v>
      </c>
      <c r="P1083" t="str">
        <f t="shared" si="185"/>
        <v>Association Loi 1901 non Reconnue d'Utilité Publique</v>
      </c>
      <c r="Q1083" t="str">
        <f t="shared" si="182"/>
        <v>36</v>
      </c>
      <c r="R1083" t="str">
        <f t="shared" si="183"/>
        <v>Tarifs conventionnels assurance maladie</v>
      </c>
      <c r="U1083" t="str">
        <f>"560030041"</f>
        <v>560030041</v>
      </c>
    </row>
    <row r="1084" spans="1:21" x14ac:dyDescent="0.3">
      <c r="A1084" t="str">
        <f>"690048418"</f>
        <v>690048418</v>
      </c>
      <c r="B1084" t="str">
        <f>"881 881 254 00018"</f>
        <v>881 881 254 00018</v>
      </c>
      <c r="D1084" t="str">
        <f>"CENTRE DE SANTE ADN SANTE LYON"</f>
        <v>CENTRE DE SANTE ADN SANTE LYON</v>
      </c>
      <c r="F1084" t="str">
        <f>"24 AVENUE JOANNES MASSET"</f>
        <v>24 AVENUE JOANNES MASSET</v>
      </c>
      <c r="H1084" t="str">
        <f>"69009"</f>
        <v>69009</v>
      </c>
      <c r="I1084" t="str">
        <f>"LYON"</f>
        <v>LYON</v>
      </c>
      <c r="L1084" s="1">
        <v>43985</v>
      </c>
      <c r="M1084" t="str">
        <f t="shared" si="172"/>
        <v>124</v>
      </c>
      <c r="N1084" t="str">
        <f t="shared" si="173"/>
        <v>Centre de Santé</v>
      </c>
      <c r="O1084" t="str">
        <f t="shared" si="184"/>
        <v>60</v>
      </c>
      <c r="P1084" t="str">
        <f t="shared" si="185"/>
        <v>Association Loi 1901 non Reconnue d'Utilité Publique</v>
      </c>
      <c r="Q1084" t="str">
        <f t="shared" si="182"/>
        <v>36</v>
      </c>
      <c r="R1084" t="str">
        <f t="shared" si="183"/>
        <v>Tarifs conventionnels assurance maladie</v>
      </c>
      <c r="U1084" t="str">
        <f>"690048400"</f>
        <v>690048400</v>
      </c>
    </row>
    <row r="1085" spans="1:21" x14ac:dyDescent="0.3">
      <c r="A1085" t="str">
        <f>"140032848"</f>
        <v>140032848</v>
      </c>
      <c r="B1085" t="str">
        <f>"878 284 686 00010"</f>
        <v>878 284 686 00010</v>
      </c>
      <c r="D1085" t="str">
        <f>"CENTRE DENTAIRE CAEN EPRON"</f>
        <v>CENTRE DENTAIRE CAEN EPRON</v>
      </c>
      <c r="E1085" t="str">
        <f>"RESIDENCE LE VOILE DE NACRE"</f>
        <v>RESIDENCE LE VOILE DE NACRE</v>
      </c>
      <c r="F1085" t="str">
        <f>"4 RUE HUBERTINE AUCLERT"</f>
        <v>4 RUE HUBERTINE AUCLERT</v>
      </c>
      <c r="H1085" t="str">
        <f>"14610"</f>
        <v>14610</v>
      </c>
      <c r="I1085" t="str">
        <f>"EPRON"</f>
        <v>EPRON</v>
      </c>
      <c r="J1085" t="str">
        <f>"02 61 79 03 20 "</f>
        <v xml:space="preserve">02 61 79 03 20 </v>
      </c>
      <c r="L1085" s="1">
        <v>43984</v>
      </c>
      <c r="M1085" t="str">
        <f t="shared" si="172"/>
        <v>124</v>
      </c>
      <c r="N1085" t="str">
        <f t="shared" si="173"/>
        <v>Centre de Santé</v>
      </c>
      <c r="O1085" t="str">
        <f>"61"</f>
        <v>61</v>
      </c>
      <c r="P1085" t="str">
        <f>"Association Loi 1901 Reconnue d'Utilité Publique"</f>
        <v>Association Loi 1901 Reconnue d'Utilité Publique</v>
      </c>
      <c r="Q1085" t="str">
        <f t="shared" si="182"/>
        <v>36</v>
      </c>
      <c r="R1085" t="str">
        <f t="shared" si="183"/>
        <v>Tarifs conventionnels assurance maladie</v>
      </c>
      <c r="U1085" t="str">
        <f>"140032830"</f>
        <v>140032830</v>
      </c>
    </row>
    <row r="1086" spans="1:21" x14ac:dyDescent="0.3">
      <c r="A1086" t="str">
        <f>"360008759"</f>
        <v>360008759</v>
      </c>
      <c r="B1086" t="str">
        <f>"881 163 679 00015"</f>
        <v>881 163 679 00015</v>
      </c>
      <c r="D1086" t="str">
        <f>"MA MAISON DE SANTE.ORG"</f>
        <v>MA MAISON DE SANTE.ORG</v>
      </c>
      <c r="F1086" t="str">
        <f>"37 BOULEVARD MARX DORMOY"</f>
        <v>37 BOULEVARD MARX DORMOY</v>
      </c>
      <c r="H1086" t="str">
        <f>"36100"</f>
        <v>36100</v>
      </c>
      <c r="I1086" t="str">
        <f>"ISSOUDUN"</f>
        <v>ISSOUDUN</v>
      </c>
      <c r="J1086" t="str">
        <f>"09 51 29 12 28 "</f>
        <v xml:space="preserve">09 51 29 12 28 </v>
      </c>
      <c r="L1086" s="1">
        <v>43984</v>
      </c>
      <c r="M1086" t="str">
        <f t="shared" si="172"/>
        <v>124</v>
      </c>
      <c r="N1086" t="str">
        <f t="shared" si="173"/>
        <v>Centre de Santé</v>
      </c>
      <c r="O1086" t="str">
        <f>"60"</f>
        <v>60</v>
      </c>
      <c r="P1086" t="str">
        <f>"Association Loi 1901 non Reconnue d'Utilité Publique"</f>
        <v>Association Loi 1901 non Reconnue d'Utilité Publique</v>
      </c>
      <c r="Q1086" t="str">
        <f>"99"</f>
        <v>99</v>
      </c>
      <c r="R1086" t="str">
        <f>"Indéterminé"</f>
        <v>Indéterminé</v>
      </c>
      <c r="U1086" t="str">
        <f>"360008742"</f>
        <v>360008742</v>
      </c>
    </row>
    <row r="1087" spans="1:21" x14ac:dyDescent="0.3">
      <c r="A1087" t="str">
        <f>"750065211"</f>
        <v>750065211</v>
      </c>
      <c r="D1087" t="str">
        <f>"CDS SEXUELLE CHECKPOINT PARIS"</f>
        <v>CDS SEXUELLE CHECKPOINT PARIS</v>
      </c>
      <c r="F1087" t="str">
        <f>"13 RUE D'ALEXANDRIE"</f>
        <v>13 RUE D'ALEXANDRIE</v>
      </c>
      <c r="H1087" t="str">
        <f>"75002"</f>
        <v>75002</v>
      </c>
      <c r="I1087" t="str">
        <f>"PARIS"</f>
        <v>PARIS</v>
      </c>
      <c r="J1087" t="str">
        <f>"01 44 78 00 00 "</f>
        <v xml:space="preserve">01 44 78 00 00 </v>
      </c>
      <c r="L1087" s="1">
        <v>43983</v>
      </c>
      <c r="M1087" t="str">
        <f t="shared" si="172"/>
        <v>124</v>
      </c>
      <c r="N1087" t="str">
        <f t="shared" si="173"/>
        <v>Centre de Santé</v>
      </c>
      <c r="O1087" t="str">
        <f>"61"</f>
        <v>61</v>
      </c>
      <c r="P1087" t="str">
        <f>"Association Loi 1901 Reconnue d'Utilité Publique"</f>
        <v>Association Loi 1901 Reconnue d'Utilité Publique</v>
      </c>
      <c r="Q1087" t="str">
        <f t="shared" ref="Q1087:Q1102" si="186">"36"</f>
        <v>36</v>
      </c>
      <c r="R1087" t="str">
        <f t="shared" ref="R1087:R1102" si="187">"Tarifs conventionnels assurance maladie"</f>
        <v>Tarifs conventionnels assurance maladie</v>
      </c>
      <c r="U1087" t="str">
        <f>"750065153"</f>
        <v>750065153</v>
      </c>
    </row>
    <row r="1088" spans="1:21" x14ac:dyDescent="0.3">
      <c r="A1088" t="str">
        <f>"920036167"</f>
        <v>920036167</v>
      </c>
      <c r="B1088" t="str">
        <f>"851 584 912 00014"</f>
        <v>851 584 912 00014</v>
      </c>
      <c r="D1088" t="str">
        <f>"CDS DENTAIRE NANTERRE PREFECTURE"</f>
        <v>CDS DENTAIRE NANTERRE PREFECTURE</v>
      </c>
      <c r="F1088" t="str">
        <f>"82 ESPLANADE CHARLES DE GAULLE"</f>
        <v>82 ESPLANADE CHARLES DE GAULLE</v>
      </c>
      <c r="H1088" t="str">
        <f>"92000"</f>
        <v>92000</v>
      </c>
      <c r="I1088" t="str">
        <f>"NANTERRE"</f>
        <v>NANTERRE</v>
      </c>
      <c r="L1088" s="1">
        <v>43983</v>
      </c>
      <c r="M1088" t="str">
        <f t="shared" si="172"/>
        <v>124</v>
      </c>
      <c r="N1088" t="str">
        <f t="shared" si="173"/>
        <v>Centre de Santé</v>
      </c>
      <c r="O1088" t="str">
        <f t="shared" ref="O1088:O1099" si="188">"60"</f>
        <v>60</v>
      </c>
      <c r="P1088" t="str">
        <f t="shared" ref="P1088:P1099" si="189">"Association Loi 1901 non Reconnue d'Utilité Publique"</f>
        <v>Association Loi 1901 non Reconnue d'Utilité Publique</v>
      </c>
      <c r="Q1088" t="str">
        <f t="shared" si="186"/>
        <v>36</v>
      </c>
      <c r="R1088" t="str">
        <f t="shared" si="187"/>
        <v>Tarifs conventionnels assurance maladie</v>
      </c>
      <c r="U1088" t="str">
        <f>"920036076"</f>
        <v>920036076</v>
      </c>
    </row>
    <row r="1089" spans="1:21" x14ac:dyDescent="0.3">
      <c r="A1089" t="str">
        <f>"940026263"</f>
        <v>940026263</v>
      </c>
      <c r="B1089" t="str">
        <f>"881 809 412 00011"</f>
        <v>881 809 412 00011</v>
      </c>
      <c r="D1089" t="str">
        <f>"CDS MEDICO DENTAIRE VILLENEUVE LE ROI"</f>
        <v>CDS MEDICO DENTAIRE VILLENEUVE LE ROI</v>
      </c>
      <c r="E1089" t="str">
        <f>"48-50"</f>
        <v>48-50</v>
      </c>
      <c r="F1089" t="str">
        <f>"48 RUE DU GENERAL DE GAULLE"</f>
        <v>48 RUE DU GENERAL DE GAULLE</v>
      </c>
      <c r="H1089" t="str">
        <f>"94290"</f>
        <v>94290</v>
      </c>
      <c r="I1089" t="str">
        <f>"VILLENEUVE LE ROI"</f>
        <v>VILLENEUVE LE ROI</v>
      </c>
      <c r="L1089" s="1">
        <v>43983</v>
      </c>
      <c r="M1089" t="str">
        <f t="shared" si="172"/>
        <v>124</v>
      </c>
      <c r="N1089" t="str">
        <f t="shared" si="173"/>
        <v>Centre de Santé</v>
      </c>
      <c r="O1089" t="str">
        <f t="shared" si="188"/>
        <v>60</v>
      </c>
      <c r="P1089" t="str">
        <f t="shared" si="189"/>
        <v>Association Loi 1901 non Reconnue d'Utilité Publique</v>
      </c>
      <c r="Q1089" t="str">
        <f t="shared" si="186"/>
        <v>36</v>
      </c>
      <c r="R1089" t="str">
        <f t="shared" si="187"/>
        <v>Tarifs conventionnels assurance maladie</v>
      </c>
      <c r="U1089" t="str">
        <f>"940026255"</f>
        <v>940026255</v>
      </c>
    </row>
    <row r="1090" spans="1:21" x14ac:dyDescent="0.3">
      <c r="A1090" t="str">
        <f>"750065476"</f>
        <v>750065476</v>
      </c>
      <c r="B1090" t="str">
        <f>"878 585 124 00018"</f>
        <v>878 585 124 00018</v>
      </c>
      <c r="D1090" t="str">
        <f>"CDS 76 REAUMUR"</f>
        <v>CDS 76 REAUMUR</v>
      </c>
      <c r="F1090" t="str">
        <f>"76 RUE REAUMUR"</f>
        <v>76 RUE REAUMUR</v>
      </c>
      <c r="H1090" t="str">
        <f>"75002"</f>
        <v>75002</v>
      </c>
      <c r="I1090" t="str">
        <f>"PARIS"</f>
        <v>PARIS</v>
      </c>
      <c r="J1090" t="str">
        <f>"01 42 33 85 58 "</f>
        <v xml:space="preserve">01 42 33 85 58 </v>
      </c>
      <c r="L1090" s="1">
        <v>43978</v>
      </c>
      <c r="M1090" t="str">
        <f t="shared" ref="M1090:M1153" si="190">"124"</f>
        <v>124</v>
      </c>
      <c r="N1090" t="str">
        <f t="shared" ref="N1090:N1153" si="191">"Centre de Santé"</f>
        <v>Centre de Santé</v>
      </c>
      <c r="O1090" t="str">
        <f t="shared" si="188"/>
        <v>60</v>
      </c>
      <c r="P1090" t="str">
        <f t="shared" si="189"/>
        <v>Association Loi 1901 non Reconnue d'Utilité Publique</v>
      </c>
      <c r="Q1090" t="str">
        <f t="shared" si="186"/>
        <v>36</v>
      </c>
      <c r="R1090" t="str">
        <f t="shared" si="187"/>
        <v>Tarifs conventionnels assurance maladie</v>
      </c>
      <c r="U1090" t="str">
        <f>"750065468"</f>
        <v>750065468</v>
      </c>
    </row>
    <row r="1091" spans="1:21" x14ac:dyDescent="0.3">
      <c r="A1091" t="str">
        <f>"750065484"</f>
        <v>750065484</v>
      </c>
      <c r="B1091" t="str">
        <f>"878 062 645 00014"</f>
        <v>878 062 645 00014</v>
      </c>
      <c r="D1091" t="str">
        <f>"CDS CENTRE DENTAIRE BOETIE"</f>
        <v>CDS CENTRE DENTAIRE BOETIE</v>
      </c>
      <c r="F1091" t="str">
        <f>"45 RUE LA BOETIE"</f>
        <v>45 RUE LA BOETIE</v>
      </c>
      <c r="H1091" t="str">
        <f>"75008"</f>
        <v>75008</v>
      </c>
      <c r="I1091" t="str">
        <f>"PARIS"</f>
        <v>PARIS</v>
      </c>
      <c r="L1091" s="1">
        <v>43978</v>
      </c>
      <c r="M1091" t="str">
        <f t="shared" si="190"/>
        <v>124</v>
      </c>
      <c r="N1091" t="str">
        <f t="shared" si="191"/>
        <v>Centre de Santé</v>
      </c>
      <c r="O1091" t="str">
        <f t="shared" si="188"/>
        <v>60</v>
      </c>
      <c r="P1091" t="str">
        <f t="shared" si="189"/>
        <v>Association Loi 1901 non Reconnue d'Utilité Publique</v>
      </c>
      <c r="Q1091" t="str">
        <f t="shared" si="186"/>
        <v>36</v>
      </c>
      <c r="R1091" t="str">
        <f t="shared" si="187"/>
        <v>Tarifs conventionnels assurance maladie</v>
      </c>
      <c r="U1091" t="str">
        <f>"750064651"</f>
        <v>750064651</v>
      </c>
    </row>
    <row r="1092" spans="1:21" x14ac:dyDescent="0.3">
      <c r="A1092" t="str">
        <f>"750065500"</f>
        <v>750065500</v>
      </c>
      <c r="B1092" t="str">
        <f>"853 791 119 00011"</f>
        <v>853 791 119 00011</v>
      </c>
      <c r="D1092" t="str">
        <f>"CDS MEDICO DENTAIRE ALEXANDRE DUMAS"</f>
        <v>CDS MEDICO DENTAIRE ALEXANDRE DUMAS</v>
      </c>
      <c r="E1092" t="str">
        <f>"11-15"</f>
        <v>11-15</v>
      </c>
      <c r="F1092" t="str">
        <f>"11 RUE ALEXANDRE DUMAS"</f>
        <v>11 RUE ALEXANDRE DUMAS</v>
      </c>
      <c r="H1092" t="str">
        <f>"75011"</f>
        <v>75011</v>
      </c>
      <c r="I1092" t="str">
        <f>"PARIS"</f>
        <v>PARIS</v>
      </c>
      <c r="L1092" s="1">
        <v>43978</v>
      </c>
      <c r="M1092" t="str">
        <f t="shared" si="190"/>
        <v>124</v>
      </c>
      <c r="N1092" t="str">
        <f t="shared" si="191"/>
        <v>Centre de Santé</v>
      </c>
      <c r="O1092" t="str">
        <f t="shared" si="188"/>
        <v>60</v>
      </c>
      <c r="P1092" t="str">
        <f t="shared" si="189"/>
        <v>Association Loi 1901 non Reconnue d'Utilité Publique</v>
      </c>
      <c r="Q1092" t="str">
        <f t="shared" si="186"/>
        <v>36</v>
      </c>
      <c r="R1092" t="str">
        <f t="shared" si="187"/>
        <v>Tarifs conventionnels assurance maladie</v>
      </c>
      <c r="U1092" t="str">
        <f>"750065492"</f>
        <v>750065492</v>
      </c>
    </row>
    <row r="1093" spans="1:21" x14ac:dyDescent="0.3">
      <c r="A1093" t="str">
        <f>"750065526"</f>
        <v>750065526</v>
      </c>
      <c r="B1093" t="str">
        <f>"877 846 709 00013"</f>
        <v>877 846 709 00013</v>
      </c>
      <c r="D1093" t="str">
        <f>"CDS MEDICAL ET DENTAIRE SAINT GEORGES"</f>
        <v>CDS MEDICAL ET DENTAIRE SAINT GEORGES</v>
      </c>
      <c r="F1093" t="str">
        <f>"2 RUE HYPPOLYTE LEBAS"</f>
        <v>2 RUE HYPPOLYTE LEBAS</v>
      </c>
      <c r="H1093" t="str">
        <f>"75009"</f>
        <v>75009</v>
      </c>
      <c r="I1093" t="str">
        <f>"PARIS"</f>
        <v>PARIS</v>
      </c>
      <c r="L1093" s="1">
        <v>43978</v>
      </c>
      <c r="M1093" t="str">
        <f t="shared" si="190"/>
        <v>124</v>
      </c>
      <c r="N1093" t="str">
        <f t="shared" si="191"/>
        <v>Centre de Santé</v>
      </c>
      <c r="O1093" t="str">
        <f t="shared" si="188"/>
        <v>60</v>
      </c>
      <c r="P1093" t="str">
        <f t="shared" si="189"/>
        <v>Association Loi 1901 non Reconnue d'Utilité Publique</v>
      </c>
      <c r="Q1093" t="str">
        <f t="shared" si="186"/>
        <v>36</v>
      </c>
      <c r="R1093" t="str">
        <f t="shared" si="187"/>
        <v>Tarifs conventionnels assurance maladie</v>
      </c>
      <c r="U1093" t="str">
        <f>"750065518"</f>
        <v>750065518</v>
      </c>
    </row>
    <row r="1094" spans="1:21" x14ac:dyDescent="0.3">
      <c r="A1094" t="str">
        <f>"770023471"</f>
        <v>770023471</v>
      </c>
      <c r="D1094" t="str">
        <f>"CDS MEDICO DENTAIRE DE CHELLES"</f>
        <v>CDS MEDICO DENTAIRE DE CHELLES</v>
      </c>
      <c r="E1094" t="str">
        <f>"CC"</f>
        <v>CC</v>
      </c>
      <c r="F1094" t="str">
        <f>"AVENUE GENDARME CASTERMANT"</f>
        <v>AVENUE GENDARME CASTERMANT</v>
      </c>
      <c r="H1094" t="str">
        <f>"77500"</f>
        <v>77500</v>
      </c>
      <c r="I1094" t="str">
        <f>"CHELLES"</f>
        <v>CHELLES</v>
      </c>
      <c r="L1094" s="1">
        <v>43978</v>
      </c>
      <c r="M1094" t="str">
        <f t="shared" si="190"/>
        <v>124</v>
      </c>
      <c r="N1094" t="str">
        <f t="shared" si="191"/>
        <v>Centre de Santé</v>
      </c>
      <c r="O1094" t="str">
        <f t="shared" si="188"/>
        <v>60</v>
      </c>
      <c r="P1094" t="str">
        <f t="shared" si="189"/>
        <v>Association Loi 1901 non Reconnue d'Utilité Publique</v>
      </c>
      <c r="Q1094" t="str">
        <f t="shared" si="186"/>
        <v>36</v>
      </c>
      <c r="R1094" t="str">
        <f t="shared" si="187"/>
        <v>Tarifs conventionnels assurance maladie</v>
      </c>
      <c r="U1094" t="str">
        <f>"770023463"</f>
        <v>770023463</v>
      </c>
    </row>
    <row r="1095" spans="1:21" x14ac:dyDescent="0.3">
      <c r="A1095" t="str">
        <f>"780027884"</f>
        <v>780027884</v>
      </c>
      <c r="B1095" t="str">
        <f>"850 072 976 00010"</f>
        <v>850 072 976 00010</v>
      </c>
      <c r="D1095" t="str">
        <f>"CDS DENTAIRE MAURICE BERTEAUX"</f>
        <v>CDS DENTAIRE MAURICE BERTEAUX</v>
      </c>
      <c r="F1095" t="str">
        <f>"90 AVENUE MAURICE BERTEAUX"</f>
        <v>90 AVENUE MAURICE BERTEAUX</v>
      </c>
      <c r="H1095" t="str">
        <f>"78500"</f>
        <v>78500</v>
      </c>
      <c r="I1095" t="str">
        <f>"SARTROUVILLE"</f>
        <v>SARTROUVILLE</v>
      </c>
      <c r="J1095" t="str">
        <f>"01 73 18 08 98 "</f>
        <v xml:space="preserve">01 73 18 08 98 </v>
      </c>
      <c r="L1095" s="1">
        <v>43978</v>
      </c>
      <c r="M1095" t="str">
        <f t="shared" si="190"/>
        <v>124</v>
      </c>
      <c r="N1095" t="str">
        <f t="shared" si="191"/>
        <v>Centre de Santé</v>
      </c>
      <c r="O1095" t="str">
        <f t="shared" si="188"/>
        <v>60</v>
      </c>
      <c r="P1095" t="str">
        <f t="shared" si="189"/>
        <v>Association Loi 1901 non Reconnue d'Utilité Publique</v>
      </c>
      <c r="Q1095" t="str">
        <f t="shared" si="186"/>
        <v>36</v>
      </c>
      <c r="R1095" t="str">
        <f t="shared" si="187"/>
        <v>Tarifs conventionnels assurance maladie</v>
      </c>
      <c r="U1095" t="str">
        <f>"780027876"</f>
        <v>780027876</v>
      </c>
    </row>
    <row r="1096" spans="1:21" x14ac:dyDescent="0.3">
      <c r="A1096" t="str">
        <f>"920036530"</f>
        <v>920036530</v>
      </c>
      <c r="B1096" t="str">
        <f>"852 505 833 00016"</f>
        <v>852 505 833 00016</v>
      </c>
      <c r="D1096" t="str">
        <f>"CDS DENTAIRE RUEIL MALMAISON"</f>
        <v>CDS DENTAIRE RUEIL MALMAISON</v>
      </c>
      <c r="F1096" t="str">
        <f>"1 RUE AUGUSTE PERRET"</f>
        <v>1 RUE AUGUSTE PERRET</v>
      </c>
      <c r="H1096" t="str">
        <f>"92500"</f>
        <v>92500</v>
      </c>
      <c r="I1096" t="str">
        <f>"RUEIL MALMAISON"</f>
        <v>RUEIL MALMAISON</v>
      </c>
      <c r="J1096" t="str">
        <f>"01 70 37 27 00 "</f>
        <v xml:space="preserve">01 70 37 27 00 </v>
      </c>
      <c r="L1096" s="1">
        <v>43978</v>
      </c>
      <c r="M1096" t="str">
        <f t="shared" si="190"/>
        <v>124</v>
      </c>
      <c r="N1096" t="str">
        <f t="shared" si="191"/>
        <v>Centre de Santé</v>
      </c>
      <c r="O1096" t="str">
        <f t="shared" si="188"/>
        <v>60</v>
      </c>
      <c r="P1096" t="str">
        <f t="shared" si="189"/>
        <v>Association Loi 1901 non Reconnue d'Utilité Publique</v>
      </c>
      <c r="Q1096" t="str">
        <f t="shared" si="186"/>
        <v>36</v>
      </c>
      <c r="R1096" t="str">
        <f t="shared" si="187"/>
        <v>Tarifs conventionnels assurance maladie</v>
      </c>
      <c r="U1096" t="str">
        <f>"920036522"</f>
        <v>920036522</v>
      </c>
    </row>
    <row r="1097" spans="1:21" x14ac:dyDescent="0.3">
      <c r="A1097" t="str">
        <f>"940026248"</f>
        <v>940026248</v>
      </c>
      <c r="D1097" t="str">
        <f>"CDS NOGENT BALTARD RER"</f>
        <v>CDS NOGENT BALTARD RER</v>
      </c>
      <c r="F1097" t="str">
        <f>"7 ALLEE VICTOR BALTARD"</f>
        <v>7 ALLEE VICTOR BALTARD</v>
      </c>
      <c r="H1097" t="str">
        <f>"94130"</f>
        <v>94130</v>
      </c>
      <c r="I1097" t="str">
        <f>"NOGENT SUR MARNE"</f>
        <v>NOGENT SUR MARNE</v>
      </c>
      <c r="J1097" t="str">
        <f>"06 18 45 18 18 "</f>
        <v xml:space="preserve">06 18 45 18 18 </v>
      </c>
      <c r="L1097" s="1">
        <v>43978</v>
      </c>
      <c r="M1097" t="str">
        <f t="shared" si="190"/>
        <v>124</v>
      </c>
      <c r="N1097" t="str">
        <f t="shared" si="191"/>
        <v>Centre de Santé</v>
      </c>
      <c r="O1097" t="str">
        <f t="shared" si="188"/>
        <v>60</v>
      </c>
      <c r="P1097" t="str">
        <f t="shared" si="189"/>
        <v>Association Loi 1901 non Reconnue d'Utilité Publique</v>
      </c>
      <c r="Q1097" t="str">
        <f t="shared" si="186"/>
        <v>36</v>
      </c>
      <c r="R1097" t="str">
        <f t="shared" si="187"/>
        <v>Tarifs conventionnels assurance maladie</v>
      </c>
      <c r="U1097" t="str">
        <f>"940026230"</f>
        <v>940026230</v>
      </c>
    </row>
    <row r="1098" spans="1:21" x14ac:dyDescent="0.3">
      <c r="A1098" t="str">
        <f>"950045138"</f>
        <v>950045138</v>
      </c>
      <c r="B1098" t="str">
        <f>"877 696 153 00031"</f>
        <v>877 696 153 00031</v>
      </c>
      <c r="D1098" t="str">
        <f>"CDS MEDICO DENTAIRE TAVERNY"</f>
        <v>CDS MEDICO DENTAIRE TAVERNY</v>
      </c>
      <c r="F1098" t="str">
        <f>"196 RUE DE PARIS"</f>
        <v>196 RUE DE PARIS</v>
      </c>
      <c r="H1098" t="str">
        <f>"95150"</f>
        <v>95150</v>
      </c>
      <c r="I1098" t="str">
        <f>"TAVERNY"</f>
        <v>TAVERNY</v>
      </c>
      <c r="J1098" t="str">
        <f>"06 28 27 22 83 "</f>
        <v xml:space="preserve">06 28 27 22 83 </v>
      </c>
      <c r="L1098" s="1">
        <v>43978</v>
      </c>
      <c r="M1098" t="str">
        <f t="shared" si="190"/>
        <v>124</v>
      </c>
      <c r="N1098" t="str">
        <f t="shared" si="191"/>
        <v>Centre de Santé</v>
      </c>
      <c r="O1098" t="str">
        <f t="shared" si="188"/>
        <v>60</v>
      </c>
      <c r="P1098" t="str">
        <f t="shared" si="189"/>
        <v>Association Loi 1901 non Reconnue d'Utilité Publique</v>
      </c>
      <c r="Q1098" t="str">
        <f t="shared" si="186"/>
        <v>36</v>
      </c>
      <c r="R1098" t="str">
        <f t="shared" si="187"/>
        <v>Tarifs conventionnels assurance maladie</v>
      </c>
      <c r="U1098" t="str">
        <f>"950045120"</f>
        <v>950045120</v>
      </c>
    </row>
    <row r="1099" spans="1:21" x14ac:dyDescent="0.3">
      <c r="A1099" t="str">
        <f>"750065161"</f>
        <v>750065161</v>
      </c>
      <c r="B1099" t="str">
        <f>"879 547 990 00017"</f>
        <v>879 547 990 00017</v>
      </c>
      <c r="D1099" t="str">
        <f>"CDS NEW SMILE COURCELLES"</f>
        <v>CDS NEW SMILE COURCELLES</v>
      </c>
      <c r="F1099" t="str">
        <f>"82 BOULEVARD DE COURCELLES"</f>
        <v>82 BOULEVARD DE COURCELLES</v>
      </c>
      <c r="H1099" t="str">
        <f>"75017"</f>
        <v>75017</v>
      </c>
      <c r="I1099" t="str">
        <f>"PARIS"</f>
        <v>PARIS</v>
      </c>
      <c r="L1099" s="1">
        <v>43977</v>
      </c>
      <c r="M1099" t="str">
        <f t="shared" si="190"/>
        <v>124</v>
      </c>
      <c r="N1099" t="str">
        <f t="shared" si="191"/>
        <v>Centre de Santé</v>
      </c>
      <c r="O1099" t="str">
        <f t="shared" si="188"/>
        <v>60</v>
      </c>
      <c r="P1099" t="str">
        <f t="shared" si="189"/>
        <v>Association Loi 1901 non Reconnue d'Utilité Publique</v>
      </c>
      <c r="Q1099" t="str">
        <f t="shared" si="186"/>
        <v>36</v>
      </c>
      <c r="R1099" t="str">
        <f t="shared" si="187"/>
        <v>Tarifs conventionnels assurance maladie</v>
      </c>
      <c r="U1099" t="str">
        <f>"750065146"</f>
        <v>750065146</v>
      </c>
    </row>
    <row r="1100" spans="1:21" x14ac:dyDescent="0.3">
      <c r="A1100" t="str">
        <f>"130050933"</f>
        <v>130050933</v>
      </c>
      <c r="B1100" t="str">
        <f>"844 570 234 00014"</f>
        <v>844 570 234 00014</v>
      </c>
      <c r="D1100" t="str">
        <f>"CDS DENTAIRE DE PORT DE BOUC"</f>
        <v>CDS DENTAIRE DE PORT DE BOUC</v>
      </c>
      <c r="F1100" t="str">
        <f>"39 AVENUE DU GROUPE MANOUCHIAN"</f>
        <v>39 AVENUE DU GROUPE MANOUCHIAN</v>
      </c>
      <c r="H1100" t="str">
        <f>"13110"</f>
        <v>13110</v>
      </c>
      <c r="I1100" t="str">
        <f>"PORT DE BOUC"</f>
        <v>PORT DE BOUC</v>
      </c>
      <c r="J1100" t="str">
        <f>"04 42 75 24 71 "</f>
        <v xml:space="preserve">04 42 75 24 71 </v>
      </c>
      <c r="L1100" s="1">
        <v>43976</v>
      </c>
      <c r="M1100" t="str">
        <f t="shared" si="190"/>
        <v>124</v>
      </c>
      <c r="N1100" t="str">
        <f t="shared" si="191"/>
        <v>Centre de Santé</v>
      </c>
      <c r="O1100" t="str">
        <f>"61"</f>
        <v>61</v>
      </c>
      <c r="P1100" t="str">
        <f>"Association Loi 1901 Reconnue d'Utilité Publique"</f>
        <v>Association Loi 1901 Reconnue d'Utilité Publique</v>
      </c>
      <c r="Q1100" t="str">
        <f t="shared" si="186"/>
        <v>36</v>
      </c>
      <c r="R1100" t="str">
        <f t="shared" si="187"/>
        <v>Tarifs conventionnels assurance maladie</v>
      </c>
      <c r="U1100" t="str">
        <f>"130050925"</f>
        <v>130050925</v>
      </c>
    </row>
    <row r="1101" spans="1:21" x14ac:dyDescent="0.3">
      <c r="A1101" t="str">
        <f>"380022525"</f>
        <v>380022525</v>
      </c>
      <c r="B1101" t="str">
        <f>"881 413 942 00023"</f>
        <v>881 413 942 00023</v>
      </c>
      <c r="D1101" t="str">
        <f>"CENTRE DE SANTE ADN SANTE GRENOBLE"</f>
        <v>CENTRE DE SANTE ADN SANTE GRENOBLE</v>
      </c>
      <c r="F1101" t="str">
        <f>"60 RUE DU CHAMP ROMAN"</f>
        <v>60 RUE DU CHAMP ROMAN</v>
      </c>
      <c r="H1101" t="str">
        <f>"38400"</f>
        <v>38400</v>
      </c>
      <c r="I1101" t="str">
        <f>"ST MARTIN D HERES"</f>
        <v>ST MARTIN D HERES</v>
      </c>
      <c r="J1101" t="str">
        <f>"06 88 71 77 50 "</f>
        <v xml:space="preserve">06 88 71 77 50 </v>
      </c>
      <c r="L1101" s="1">
        <v>43970</v>
      </c>
      <c r="M1101" t="str">
        <f t="shared" si="190"/>
        <v>124</v>
      </c>
      <c r="N1101" t="str">
        <f t="shared" si="191"/>
        <v>Centre de Santé</v>
      </c>
      <c r="O1101" t="str">
        <f>"60"</f>
        <v>60</v>
      </c>
      <c r="P1101" t="str">
        <f>"Association Loi 1901 non Reconnue d'Utilité Publique"</f>
        <v>Association Loi 1901 non Reconnue d'Utilité Publique</v>
      </c>
      <c r="Q1101" t="str">
        <f t="shared" si="186"/>
        <v>36</v>
      </c>
      <c r="R1101" t="str">
        <f t="shared" si="187"/>
        <v>Tarifs conventionnels assurance maladie</v>
      </c>
      <c r="U1101" t="str">
        <f>"380022517"</f>
        <v>380022517</v>
      </c>
    </row>
    <row r="1102" spans="1:21" x14ac:dyDescent="0.3">
      <c r="A1102" t="str">
        <f>"920036332"</f>
        <v>920036332</v>
      </c>
      <c r="B1102" t="str">
        <f>"878 271 022 00013"</f>
        <v>878 271 022 00013</v>
      </c>
      <c r="D1102" t="str">
        <f>"CDS D'ORTHODONTIE SMILE ART"</f>
        <v>CDS D'ORTHODONTIE SMILE ART</v>
      </c>
      <c r="F1102" t="str">
        <f>"21 AVENUE DU MARECHAL JUIN"</f>
        <v>21 AVENUE DU MARECHAL JUIN</v>
      </c>
      <c r="H1102" t="str">
        <f>"92500"</f>
        <v>92500</v>
      </c>
      <c r="I1102" t="str">
        <f>"RUEIL MALMAISON"</f>
        <v>RUEIL MALMAISON</v>
      </c>
      <c r="L1102" s="1">
        <v>43966</v>
      </c>
      <c r="M1102" t="str">
        <f t="shared" si="190"/>
        <v>124</v>
      </c>
      <c r="N1102" t="str">
        <f t="shared" si="191"/>
        <v>Centre de Santé</v>
      </c>
      <c r="O1102" t="str">
        <f>"60"</f>
        <v>60</v>
      </c>
      <c r="P1102" t="str">
        <f>"Association Loi 1901 non Reconnue d'Utilité Publique"</f>
        <v>Association Loi 1901 non Reconnue d'Utilité Publique</v>
      </c>
      <c r="Q1102" t="str">
        <f t="shared" si="186"/>
        <v>36</v>
      </c>
      <c r="R1102" t="str">
        <f t="shared" si="187"/>
        <v>Tarifs conventionnels assurance maladie</v>
      </c>
      <c r="U1102" t="str">
        <f>"920036050"</f>
        <v>920036050</v>
      </c>
    </row>
    <row r="1103" spans="1:21" x14ac:dyDescent="0.3">
      <c r="A1103" t="str">
        <f>"600015101"</f>
        <v>600015101</v>
      </c>
      <c r="B1103" t="str">
        <f>"853 493 757 00019"</f>
        <v>853 493 757 00019</v>
      </c>
      <c r="D1103" t="str">
        <f>"ASSOC. CENTRE DE SANTE BEAUVAIS CARNOT"</f>
        <v>ASSOC. CENTRE DE SANTE BEAUVAIS CARNOT</v>
      </c>
      <c r="F1103" t="str">
        <f>"24 RUE CARNOT"</f>
        <v>24 RUE CARNOT</v>
      </c>
      <c r="H1103" t="str">
        <f>"60000"</f>
        <v>60000</v>
      </c>
      <c r="I1103" t="str">
        <f>"BEAUVAIS"</f>
        <v>BEAUVAIS</v>
      </c>
      <c r="J1103" t="str">
        <f>"03 44 06 55 55 "</f>
        <v xml:space="preserve">03 44 06 55 55 </v>
      </c>
      <c r="L1103" s="1">
        <v>43962</v>
      </c>
      <c r="M1103" t="str">
        <f t="shared" si="190"/>
        <v>124</v>
      </c>
      <c r="N1103" t="str">
        <f t="shared" si="191"/>
        <v>Centre de Santé</v>
      </c>
      <c r="O1103" t="str">
        <f>"61"</f>
        <v>61</v>
      </c>
      <c r="P1103" t="str">
        <f>"Association Loi 1901 Reconnue d'Utilité Publique"</f>
        <v>Association Loi 1901 Reconnue d'Utilité Publique</v>
      </c>
      <c r="Q1103" t="str">
        <f>"99"</f>
        <v>99</v>
      </c>
      <c r="R1103" t="str">
        <f>"Indéterminé"</f>
        <v>Indéterminé</v>
      </c>
      <c r="U1103" t="str">
        <f>"600015093"</f>
        <v>600015093</v>
      </c>
    </row>
    <row r="1104" spans="1:21" x14ac:dyDescent="0.3">
      <c r="A1104" t="str">
        <f>"800020554"</f>
        <v>800020554</v>
      </c>
      <c r="B1104" t="str">
        <f>"897 595 849 00018"</f>
        <v>897 595 849 00018</v>
      </c>
      <c r="D1104" t="str">
        <f>"CENTRE MEDICAL AMIENS"</f>
        <v>CENTRE MEDICAL AMIENS</v>
      </c>
      <c r="F1104" t="str">
        <f>"80 BOULEVARD D'ALSACE LORRAINE"</f>
        <v>80 BOULEVARD D'ALSACE LORRAINE</v>
      </c>
      <c r="H1104" t="str">
        <f>"80000"</f>
        <v>80000</v>
      </c>
      <c r="I1104" t="str">
        <f>"AMIENS"</f>
        <v>AMIENS</v>
      </c>
      <c r="J1104" t="str">
        <f>"03 65 89 05 55 "</f>
        <v xml:space="preserve">03 65 89 05 55 </v>
      </c>
      <c r="L1104" s="1">
        <v>43956</v>
      </c>
      <c r="M1104" t="str">
        <f t="shared" si="190"/>
        <v>124</v>
      </c>
      <c r="N1104" t="str">
        <f t="shared" si="191"/>
        <v>Centre de Santé</v>
      </c>
      <c r="O1104" t="str">
        <f>"61"</f>
        <v>61</v>
      </c>
      <c r="P1104" t="str">
        <f>"Association Loi 1901 Reconnue d'Utilité Publique"</f>
        <v>Association Loi 1901 Reconnue d'Utilité Publique</v>
      </c>
      <c r="Q1104" t="str">
        <f>"36"</f>
        <v>36</v>
      </c>
      <c r="R1104" t="str">
        <f>"Tarifs conventionnels assurance maladie"</f>
        <v>Tarifs conventionnels assurance maladie</v>
      </c>
      <c r="U1104" t="str">
        <f>"800020547"</f>
        <v>800020547</v>
      </c>
    </row>
    <row r="1105" spans="1:21" x14ac:dyDescent="0.3">
      <c r="A1105" t="str">
        <f>"450022546"</f>
        <v>450022546</v>
      </c>
      <c r="D1105" t="str">
        <f>"CENTRE DE SANTÉ D'INGRÉ"</f>
        <v>CENTRE DE SANTÉ D'INGRÉ</v>
      </c>
      <c r="F1105" t="str">
        <f>"1 RUE DE LA PREVOTÉ"</f>
        <v>1 RUE DE LA PREVOTÉ</v>
      </c>
      <c r="H1105" t="str">
        <f>"45140"</f>
        <v>45140</v>
      </c>
      <c r="I1105" t="str">
        <f>"INGRE"</f>
        <v>INGRE</v>
      </c>
      <c r="L1105" s="1">
        <v>43955</v>
      </c>
      <c r="M1105" t="str">
        <f t="shared" si="190"/>
        <v>124</v>
      </c>
      <c r="N1105" t="str">
        <f t="shared" si="191"/>
        <v>Centre de Santé</v>
      </c>
      <c r="O1105" t="str">
        <f>"03"</f>
        <v>03</v>
      </c>
      <c r="P1105" t="str">
        <f>"Commune"</f>
        <v>Commune</v>
      </c>
      <c r="Q1105" t="str">
        <f>"99"</f>
        <v>99</v>
      </c>
      <c r="R1105" t="str">
        <f>"Indéterminé"</f>
        <v>Indéterminé</v>
      </c>
      <c r="U1105" t="str">
        <f>"450022538"</f>
        <v>450022538</v>
      </c>
    </row>
    <row r="1106" spans="1:21" x14ac:dyDescent="0.3">
      <c r="A1106" t="str">
        <f>"450022447"</f>
        <v>450022447</v>
      </c>
      <c r="B1106" t="str">
        <f>"850 217 506 00011"</f>
        <v>850 217 506 00011</v>
      </c>
      <c r="D1106" t="str">
        <f>"CENTRE MEDICAL ORLEANS THIERS"</f>
        <v>CENTRE MEDICAL ORLEANS THIERS</v>
      </c>
      <c r="F1106" t="str">
        <f>"3 RUE THIERS"</f>
        <v>3 RUE THIERS</v>
      </c>
      <c r="H1106" t="str">
        <f>"45000"</f>
        <v>45000</v>
      </c>
      <c r="I1106" t="str">
        <f>"ORLEANS"</f>
        <v>ORLEANS</v>
      </c>
      <c r="L1106" s="1">
        <v>43936</v>
      </c>
      <c r="M1106" t="str">
        <f t="shared" si="190"/>
        <v>124</v>
      </c>
      <c r="N1106" t="str">
        <f t="shared" si="191"/>
        <v>Centre de Santé</v>
      </c>
      <c r="O1106" t="str">
        <f>"85"</f>
        <v>85</v>
      </c>
      <c r="P1106" t="str">
        <f>"Soc. Exercice Libéral Responsabilité Limitée (S.E.L.A.R.L.)"</f>
        <v>Soc. Exercice Libéral Responsabilité Limitée (S.E.L.A.R.L.)</v>
      </c>
      <c r="Q1106" t="str">
        <f>"99"</f>
        <v>99</v>
      </c>
      <c r="R1106" t="str">
        <f>"Indéterminé"</f>
        <v>Indéterminé</v>
      </c>
      <c r="U1106" t="str">
        <f>"450022439"</f>
        <v>450022439</v>
      </c>
    </row>
    <row r="1107" spans="1:21" x14ac:dyDescent="0.3">
      <c r="A1107" t="str">
        <f>"500024690"</f>
        <v>500024690</v>
      </c>
      <c r="B1107" t="str">
        <f>"200 056 844 01115"</f>
        <v>200 056 844 01115</v>
      </c>
      <c r="D1107" t="str">
        <f>"CENTRE DE SANTE BRES-CROIZAT"</f>
        <v>CENTRE DE SANTE BRES-CROIZAT</v>
      </c>
      <c r="F1107" t="str">
        <f>"PLACE LOUIS DARINOT"</f>
        <v>PLACE LOUIS DARINOT</v>
      </c>
      <c r="H1107" t="str">
        <f>"50100"</f>
        <v>50100</v>
      </c>
      <c r="I1107" t="str">
        <f>"CHERBOURG EN COTENTIN"</f>
        <v>CHERBOURG EN COTENTIN</v>
      </c>
      <c r="J1107" t="str">
        <f>"02 58 24 00 30 "</f>
        <v xml:space="preserve">02 58 24 00 30 </v>
      </c>
      <c r="L1107" s="1">
        <v>43913</v>
      </c>
      <c r="M1107" t="str">
        <f t="shared" si="190"/>
        <v>124</v>
      </c>
      <c r="N1107" t="str">
        <f t="shared" si="191"/>
        <v>Centre de Santé</v>
      </c>
      <c r="O1107" t="str">
        <f>"03"</f>
        <v>03</v>
      </c>
      <c r="P1107" t="str">
        <f>"Commune"</f>
        <v>Commune</v>
      </c>
      <c r="Q1107" t="str">
        <f t="shared" ref="Q1107:Q1114" si="192">"36"</f>
        <v>36</v>
      </c>
      <c r="R1107" t="str">
        <f t="shared" ref="R1107:R1114" si="193">"Tarifs conventionnels assurance maladie"</f>
        <v>Tarifs conventionnels assurance maladie</v>
      </c>
      <c r="U1107" t="str">
        <f>"500023379"</f>
        <v>500023379</v>
      </c>
    </row>
    <row r="1108" spans="1:21" x14ac:dyDescent="0.3">
      <c r="A1108" t="str">
        <f>"160016879"</f>
        <v>160016879</v>
      </c>
      <c r="B1108" t="str">
        <f>"221 600 018 00867"</f>
        <v>221 600 018 00867</v>
      </c>
      <c r="D1108" t="str">
        <f>"CDS POLYVALENT SUD CHARENTE"</f>
        <v>CDS POLYVALENT SUD CHARENTE</v>
      </c>
      <c r="F1108" t="str">
        <f>"1 RUE DU PONT DES RYCES"</f>
        <v>1 RUE DU PONT DES RYCES</v>
      </c>
      <c r="H1108" t="str">
        <f>"16250"</f>
        <v>16250</v>
      </c>
      <c r="I1108" t="str">
        <f>"COTEAUX DU BLANZACAIS"</f>
        <v>COTEAUX DU BLANZACAIS</v>
      </c>
      <c r="J1108" t="str">
        <f>"05 16 09 51 75 "</f>
        <v xml:space="preserve">05 16 09 51 75 </v>
      </c>
      <c r="L1108" s="1">
        <v>43906</v>
      </c>
      <c r="M1108" t="str">
        <f t="shared" si="190"/>
        <v>124</v>
      </c>
      <c r="N1108" t="str">
        <f t="shared" si="191"/>
        <v>Centre de Santé</v>
      </c>
      <c r="O1108" t="str">
        <f>"02"</f>
        <v>02</v>
      </c>
      <c r="P1108" t="str">
        <f>"Département"</f>
        <v>Département</v>
      </c>
      <c r="Q1108" t="str">
        <f t="shared" si="192"/>
        <v>36</v>
      </c>
      <c r="R1108" t="str">
        <f t="shared" si="193"/>
        <v>Tarifs conventionnels assurance maladie</v>
      </c>
      <c r="U1108" t="str">
        <f>"160007373"</f>
        <v>160007373</v>
      </c>
    </row>
    <row r="1109" spans="1:21" x14ac:dyDescent="0.3">
      <c r="A1109" t="str">
        <f>"160016887"</f>
        <v>160016887</v>
      </c>
      <c r="B1109" t="str">
        <f>"221 600 018 00859"</f>
        <v>221 600 018 00859</v>
      </c>
      <c r="D1109" t="str">
        <f>"CDS POLYVALENT NORD CHARENTE"</f>
        <v>CDS POLYVALENT NORD CHARENTE</v>
      </c>
      <c r="F1109" t="str">
        <f>"10 RUE TRASLEFOURS"</f>
        <v>10 RUE TRASLEFOURS</v>
      </c>
      <c r="H1109" t="str">
        <f>"16140"</f>
        <v>16140</v>
      </c>
      <c r="I1109" t="str">
        <f>"AIGRE"</f>
        <v>AIGRE</v>
      </c>
      <c r="J1109" t="str">
        <f>"05 16 09 51 70 "</f>
        <v xml:space="preserve">05 16 09 51 70 </v>
      </c>
      <c r="L1109" s="1">
        <v>43906</v>
      </c>
      <c r="M1109" t="str">
        <f t="shared" si="190"/>
        <v>124</v>
      </c>
      <c r="N1109" t="str">
        <f t="shared" si="191"/>
        <v>Centre de Santé</v>
      </c>
      <c r="O1109" t="str">
        <f>"02"</f>
        <v>02</v>
      </c>
      <c r="P1109" t="str">
        <f>"Département"</f>
        <v>Département</v>
      </c>
      <c r="Q1109" t="str">
        <f t="shared" si="192"/>
        <v>36</v>
      </c>
      <c r="R1109" t="str">
        <f t="shared" si="193"/>
        <v>Tarifs conventionnels assurance maladie</v>
      </c>
      <c r="U1109" t="str">
        <f>"160007373"</f>
        <v>160007373</v>
      </c>
    </row>
    <row r="1110" spans="1:21" x14ac:dyDescent="0.3">
      <c r="A1110" t="str">
        <f>"720022110"</f>
        <v>720022110</v>
      </c>
      <c r="B1110" t="str">
        <f>"879 219 392 00013"</f>
        <v>879 219 392 00013</v>
      </c>
      <c r="D1110" t="str">
        <f>"CENTRE DE SANTE OPHTALMOLOGIQUE"</f>
        <v>CENTRE DE SANTE OPHTALMOLOGIQUE</v>
      </c>
      <c r="F1110" t="str">
        <f>"9 QUAI LEDRU ROLLIN"</f>
        <v>9 QUAI LEDRU ROLLIN</v>
      </c>
      <c r="H1110" t="str">
        <f>"72000"</f>
        <v>72000</v>
      </c>
      <c r="I1110" t="str">
        <f>"LE MANS"</f>
        <v>LE MANS</v>
      </c>
      <c r="J1110" t="str">
        <f>"06 13 81 27 87 "</f>
        <v xml:space="preserve">06 13 81 27 87 </v>
      </c>
      <c r="L1110" s="1">
        <v>43902</v>
      </c>
      <c r="M1110" t="str">
        <f t="shared" si="190"/>
        <v>124</v>
      </c>
      <c r="N1110" t="str">
        <f t="shared" si="191"/>
        <v>Centre de Santé</v>
      </c>
      <c r="O1110" t="str">
        <f>"60"</f>
        <v>60</v>
      </c>
      <c r="P1110" t="str">
        <f>"Association Loi 1901 non Reconnue d'Utilité Publique"</f>
        <v>Association Loi 1901 non Reconnue d'Utilité Publique</v>
      </c>
      <c r="Q1110" t="str">
        <f t="shared" si="192"/>
        <v>36</v>
      </c>
      <c r="R1110" t="str">
        <f t="shared" si="193"/>
        <v>Tarifs conventionnels assurance maladie</v>
      </c>
      <c r="U1110" t="str">
        <f>"720022102"</f>
        <v>720022102</v>
      </c>
    </row>
    <row r="1111" spans="1:21" x14ac:dyDescent="0.3">
      <c r="A1111" t="str">
        <f>"920036266"</f>
        <v>920036266</v>
      </c>
      <c r="B1111" t="str">
        <f>"879 134 203 00022"</f>
        <v>879 134 203 00022</v>
      </c>
      <c r="D1111" t="str">
        <f>"CDS OPHTALMOLOGIQUE DE BOULOGNE"</f>
        <v>CDS OPHTALMOLOGIQUE DE BOULOGNE</v>
      </c>
      <c r="F1111" t="str">
        <f>"107 RUE DU PONT DU JOUR"</f>
        <v>107 RUE DU PONT DU JOUR</v>
      </c>
      <c r="H1111" t="str">
        <f>"92100"</f>
        <v>92100</v>
      </c>
      <c r="I1111" t="str">
        <f>"BOULOGNE BILLANCOURT"</f>
        <v>BOULOGNE BILLANCOURT</v>
      </c>
      <c r="L1111" s="1">
        <v>43900</v>
      </c>
      <c r="M1111" t="str">
        <f t="shared" si="190"/>
        <v>124</v>
      </c>
      <c r="N1111" t="str">
        <f t="shared" si="191"/>
        <v>Centre de Santé</v>
      </c>
      <c r="O1111" t="str">
        <f>"60"</f>
        <v>60</v>
      </c>
      <c r="P1111" t="str">
        <f>"Association Loi 1901 non Reconnue d'Utilité Publique"</f>
        <v>Association Loi 1901 non Reconnue d'Utilité Publique</v>
      </c>
      <c r="Q1111" t="str">
        <f t="shared" si="192"/>
        <v>36</v>
      </c>
      <c r="R1111" t="str">
        <f t="shared" si="193"/>
        <v>Tarifs conventionnels assurance maladie</v>
      </c>
      <c r="U1111" t="str">
        <f>"920036258"</f>
        <v>920036258</v>
      </c>
    </row>
    <row r="1112" spans="1:21" x14ac:dyDescent="0.3">
      <c r="A1112" t="str">
        <f>"950044941"</f>
        <v>950044941</v>
      </c>
      <c r="B1112" t="str">
        <f>"878 343 060 00017"</f>
        <v>878 343 060 00017</v>
      </c>
      <c r="D1112" t="str">
        <f>"CDS OPHTALMOLOGIE DE SARCELLES"</f>
        <v>CDS OPHTALMOLOGIE DE SARCELLES</v>
      </c>
      <c r="F1112" t="str">
        <f>"28 BOULEVARD FRANCOIS MITTERRAND"</f>
        <v>28 BOULEVARD FRANCOIS MITTERRAND</v>
      </c>
      <c r="H1112" t="str">
        <f>"95200"</f>
        <v>95200</v>
      </c>
      <c r="I1112" t="str">
        <f>"SARCELLES"</f>
        <v>SARCELLES</v>
      </c>
      <c r="L1112" s="1">
        <v>43900</v>
      </c>
      <c r="M1112" t="str">
        <f t="shared" si="190"/>
        <v>124</v>
      </c>
      <c r="N1112" t="str">
        <f t="shared" si="191"/>
        <v>Centre de Santé</v>
      </c>
      <c r="O1112" t="str">
        <f>"60"</f>
        <v>60</v>
      </c>
      <c r="P1112" t="str">
        <f>"Association Loi 1901 non Reconnue d'Utilité Publique"</f>
        <v>Association Loi 1901 non Reconnue d'Utilité Publique</v>
      </c>
      <c r="Q1112" t="str">
        <f t="shared" si="192"/>
        <v>36</v>
      </c>
      <c r="R1112" t="str">
        <f t="shared" si="193"/>
        <v>Tarifs conventionnels assurance maladie</v>
      </c>
      <c r="U1112" t="str">
        <f>"950044933"</f>
        <v>950044933</v>
      </c>
    </row>
    <row r="1113" spans="1:21" x14ac:dyDescent="0.3">
      <c r="A1113" t="str">
        <f>"970411195"</f>
        <v>970411195</v>
      </c>
      <c r="B1113" t="str">
        <f>"881 287 981 00016"</f>
        <v>881 287 981 00016</v>
      </c>
      <c r="D1113" t="str">
        <f>"CDS VISION CLAIRE - SAINT DENIS"</f>
        <v>CDS VISION CLAIRE - SAINT DENIS</v>
      </c>
      <c r="F1113" t="str">
        <f>"216 BOULEVARD JEAN JAURES"</f>
        <v>216 BOULEVARD JEAN JAURES</v>
      </c>
      <c r="H1113" t="str">
        <f>"97490"</f>
        <v>97490</v>
      </c>
      <c r="I1113" t="str">
        <f>"ST DENIS"</f>
        <v>ST DENIS</v>
      </c>
      <c r="J1113" t="str">
        <f>"06 93 49 88 83 "</f>
        <v xml:space="preserve">06 93 49 88 83 </v>
      </c>
      <c r="L1113" s="1">
        <v>43899</v>
      </c>
      <c r="M1113" t="str">
        <f t="shared" si="190"/>
        <v>124</v>
      </c>
      <c r="N1113" t="str">
        <f t="shared" si="191"/>
        <v>Centre de Santé</v>
      </c>
      <c r="O1113" t="str">
        <f>"60"</f>
        <v>60</v>
      </c>
      <c r="P1113" t="str">
        <f>"Association Loi 1901 non Reconnue d'Utilité Publique"</f>
        <v>Association Loi 1901 non Reconnue d'Utilité Publique</v>
      </c>
      <c r="Q1113" t="str">
        <f t="shared" si="192"/>
        <v>36</v>
      </c>
      <c r="R1113" t="str">
        <f t="shared" si="193"/>
        <v>Tarifs conventionnels assurance maladie</v>
      </c>
      <c r="U1113" t="str">
        <f>"970411187"</f>
        <v>970411187</v>
      </c>
    </row>
    <row r="1114" spans="1:21" x14ac:dyDescent="0.3">
      <c r="A1114" t="str">
        <f>"060029717"</f>
        <v>060029717</v>
      </c>
      <c r="B1114" t="str">
        <f>"851 617 993 00015"</f>
        <v>851 617 993 00015</v>
      </c>
      <c r="D1114" t="str">
        <f>"CDS MEDICAL ALLIANCE VISION"</f>
        <v>CDS MEDICAL ALLIANCE VISION</v>
      </c>
      <c r="F1114" t="str">
        <f>"30 BOULEVARD DU PRESIDENT WILSON"</f>
        <v>30 BOULEVARD DU PRESIDENT WILSON</v>
      </c>
      <c r="H1114" t="str">
        <f>"06160"</f>
        <v>06160</v>
      </c>
      <c r="I1114" t="str">
        <f>"ANTIBES"</f>
        <v>ANTIBES</v>
      </c>
      <c r="J1114" t="str">
        <f>"06 13 81 27 87 "</f>
        <v xml:space="preserve">06 13 81 27 87 </v>
      </c>
      <c r="L1114" s="1">
        <v>43896</v>
      </c>
      <c r="M1114" t="str">
        <f t="shared" si="190"/>
        <v>124</v>
      </c>
      <c r="N1114" t="str">
        <f t="shared" si="191"/>
        <v>Centre de Santé</v>
      </c>
      <c r="O1114" t="str">
        <f>"61"</f>
        <v>61</v>
      </c>
      <c r="P1114" t="str">
        <f>"Association Loi 1901 Reconnue d'Utilité Publique"</f>
        <v>Association Loi 1901 Reconnue d'Utilité Publique</v>
      </c>
      <c r="Q1114" t="str">
        <f t="shared" si="192"/>
        <v>36</v>
      </c>
      <c r="R1114" t="str">
        <f t="shared" si="193"/>
        <v>Tarifs conventionnels assurance maladie</v>
      </c>
      <c r="U1114" t="str">
        <f>"060029709"</f>
        <v>060029709</v>
      </c>
    </row>
    <row r="1115" spans="1:21" x14ac:dyDescent="0.3">
      <c r="A1115" t="str">
        <f>"450022462"</f>
        <v>450022462</v>
      </c>
      <c r="B1115" t="str">
        <f>"852 399 740 00038"</f>
        <v>852 399 740 00038</v>
      </c>
      <c r="D1115" t="str">
        <f>"POLE DE SANTE DE COURTENAY"</f>
        <v>POLE DE SANTE DE COURTENAY</v>
      </c>
      <c r="F1115" t="str">
        <f>"2 RUE MARECHAL FOCH"</f>
        <v>2 RUE MARECHAL FOCH</v>
      </c>
      <c r="H1115" t="str">
        <f>"45320"</f>
        <v>45320</v>
      </c>
      <c r="I1115" t="str">
        <f>"COURTENAY"</f>
        <v>COURTENAY</v>
      </c>
      <c r="L1115" s="1">
        <v>43893</v>
      </c>
      <c r="M1115" t="str">
        <f t="shared" si="190"/>
        <v>124</v>
      </c>
      <c r="N1115" t="str">
        <f t="shared" si="191"/>
        <v>Centre de Santé</v>
      </c>
      <c r="O1115" t="str">
        <f>"61"</f>
        <v>61</v>
      </c>
      <c r="P1115" t="str">
        <f>"Association Loi 1901 Reconnue d'Utilité Publique"</f>
        <v>Association Loi 1901 Reconnue d'Utilité Publique</v>
      </c>
      <c r="Q1115" t="str">
        <f>"99"</f>
        <v>99</v>
      </c>
      <c r="R1115" t="str">
        <f>"Indéterminé"</f>
        <v>Indéterminé</v>
      </c>
      <c r="U1115" t="str">
        <f>"450022454"</f>
        <v>450022454</v>
      </c>
    </row>
    <row r="1116" spans="1:21" x14ac:dyDescent="0.3">
      <c r="A1116" t="str">
        <f>"930029186"</f>
        <v>930029186</v>
      </c>
      <c r="D1116" t="str">
        <f>"CDS DU PRE SAINT GERVAIS (CSPSG)"</f>
        <v>CDS DU PRE SAINT GERVAIS (CSPSG)</v>
      </c>
      <c r="F1116" t="str">
        <f>"1 RUE DELTERAL"</f>
        <v>1 RUE DELTERAL</v>
      </c>
      <c r="H1116" t="str">
        <f>"93310"</f>
        <v>93310</v>
      </c>
      <c r="I1116" t="str">
        <f>"LE PRE ST GERVAIS"</f>
        <v>LE PRE ST GERVAIS</v>
      </c>
      <c r="J1116" t="str">
        <f>"01 48 91 27 30 "</f>
        <v xml:space="preserve">01 48 91 27 30 </v>
      </c>
      <c r="L1116" s="1">
        <v>43892</v>
      </c>
      <c r="M1116" t="str">
        <f t="shared" si="190"/>
        <v>124</v>
      </c>
      <c r="N1116" t="str">
        <f t="shared" si="191"/>
        <v>Centre de Santé</v>
      </c>
      <c r="O1116" t="str">
        <f>"60"</f>
        <v>60</v>
      </c>
      <c r="P1116" t="str">
        <f>"Association Loi 1901 non Reconnue d'Utilité Publique"</f>
        <v>Association Loi 1901 non Reconnue d'Utilité Publique</v>
      </c>
      <c r="Q1116" t="str">
        <f t="shared" ref="Q1116:Q1148" si="194">"36"</f>
        <v>36</v>
      </c>
      <c r="R1116" t="str">
        <f t="shared" ref="R1116:R1148" si="195">"Tarifs conventionnels assurance maladie"</f>
        <v>Tarifs conventionnels assurance maladie</v>
      </c>
      <c r="U1116" t="str">
        <f>"930029152"</f>
        <v>930029152</v>
      </c>
    </row>
    <row r="1117" spans="1:21" x14ac:dyDescent="0.3">
      <c r="A1117" t="str">
        <f>"930029525"</f>
        <v>930029525</v>
      </c>
      <c r="B1117" t="str">
        <f>"878 578 939 00018"</f>
        <v>878 578 939 00018</v>
      </c>
      <c r="D1117" t="str">
        <f>"CDS MEDICO-DENTAIRE CHANZY"</f>
        <v>CDS MEDICO-DENTAIRE CHANZY</v>
      </c>
      <c r="F1117" t="str">
        <f>"4 ALLEE FAIDHERBE"</f>
        <v>4 ALLEE FAIDHERBE</v>
      </c>
      <c r="H1117" t="str">
        <f>"93190"</f>
        <v>93190</v>
      </c>
      <c r="I1117" t="str">
        <f>"LIVRY GARGAN"</f>
        <v>LIVRY GARGAN</v>
      </c>
      <c r="L1117" s="1">
        <v>43892</v>
      </c>
      <c r="M1117" t="str">
        <f t="shared" si="190"/>
        <v>124</v>
      </c>
      <c r="N1117" t="str">
        <f t="shared" si="191"/>
        <v>Centre de Santé</v>
      </c>
      <c r="O1117" t="str">
        <f>"60"</f>
        <v>60</v>
      </c>
      <c r="P1117" t="str">
        <f>"Association Loi 1901 non Reconnue d'Utilité Publique"</f>
        <v>Association Loi 1901 non Reconnue d'Utilité Publique</v>
      </c>
      <c r="Q1117" t="str">
        <f t="shared" si="194"/>
        <v>36</v>
      </c>
      <c r="R1117" t="str">
        <f t="shared" si="195"/>
        <v>Tarifs conventionnels assurance maladie</v>
      </c>
      <c r="U1117" t="str">
        <f>"930029517"</f>
        <v>930029517</v>
      </c>
    </row>
    <row r="1118" spans="1:21" x14ac:dyDescent="0.3">
      <c r="A1118" t="str">
        <f>"340026871"</f>
        <v>340026871</v>
      </c>
      <c r="B1118" t="str">
        <f>"844 471 201 00013"</f>
        <v>844 471 201 00013</v>
      </c>
      <c r="D1118" t="str">
        <f>"CENTRE DE SANTE DENTAIRE MONTPELLIER"</f>
        <v>CENTRE DE SANTE DENTAIRE MONTPELLIER</v>
      </c>
      <c r="F1118" t="str">
        <f>"31 BOULEVARD SARRAIL"</f>
        <v>31 BOULEVARD SARRAIL</v>
      </c>
      <c r="H1118" t="str">
        <f>"34000"</f>
        <v>34000</v>
      </c>
      <c r="I1118" t="str">
        <f>"MONTPELLIER"</f>
        <v>MONTPELLIER</v>
      </c>
      <c r="L1118" s="1">
        <v>43891</v>
      </c>
      <c r="M1118" t="str">
        <f t="shared" si="190"/>
        <v>124</v>
      </c>
      <c r="N1118" t="str">
        <f t="shared" si="191"/>
        <v>Centre de Santé</v>
      </c>
      <c r="O1118" t="str">
        <f>"60"</f>
        <v>60</v>
      </c>
      <c r="P1118" t="str">
        <f>"Association Loi 1901 non Reconnue d'Utilité Publique"</f>
        <v>Association Loi 1901 non Reconnue d'Utilité Publique</v>
      </c>
      <c r="Q1118" t="str">
        <f t="shared" si="194"/>
        <v>36</v>
      </c>
      <c r="R1118" t="str">
        <f t="shared" si="195"/>
        <v>Tarifs conventionnels assurance maladie</v>
      </c>
      <c r="U1118" t="str">
        <f>"340026863"</f>
        <v>340026863</v>
      </c>
    </row>
    <row r="1119" spans="1:21" x14ac:dyDescent="0.3">
      <c r="A1119" t="str">
        <f>"850028101"</f>
        <v>850028101</v>
      </c>
      <c r="B1119" t="str">
        <f>"228 500 013 00880"</f>
        <v>228 500 013 00880</v>
      </c>
      <c r="D1119" t="str">
        <f>"CENTRE DE SANTE MOUTIERS-LES-MAUXFAITS"</f>
        <v>CENTRE DE SANTE MOUTIERS-LES-MAUXFAITS</v>
      </c>
      <c r="F1119" t="str">
        <f>"9 RUE DU CHEMIN DE FER"</f>
        <v>9 RUE DU CHEMIN DE FER</v>
      </c>
      <c r="H1119" t="str">
        <f>"85540"</f>
        <v>85540</v>
      </c>
      <c r="I1119" t="str">
        <f>"MOUTIERS LES MAUXFAITS"</f>
        <v>MOUTIERS LES MAUXFAITS</v>
      </c>
      <c r="L1119" s="1">
        <v>43891</v>
      </c>
      <c r="M1119" t="str">
        <f t="shared" si="190"/>
        <v>124</v>
      </c>
      <c r="N1119" t="str">
        <f t="shared" si="191"/>
        <v>Centre de Santé</v>
      </c>
      <c r="O1119" t="str">
        <f>"02"</f>
        <v>02</v>
      </c>
      <c r="P1119" t="str">
        <f>"Département"</f>
        <v>Département</v>
      </c>
      <c r="Q1119" t="str">
        <f t="shared" si="194"/>
        <v>36</v>
      </c>
      <c r="R1119" t="str">
        <f t="shared" si="195"/>
        <v>Tarifs conventionnels assurance maladie</v>
      </c>
      <c r="U1119" t="str">
        <f>"850018581"</f>
        <v>850018581</v>
      </c>
    </row>
    <row r="1120" spans="1:21" x14ac:dyDescent="0.3">
      <c r="A1120" t="str">
        <f>"920036241"</f>
        <v>920036241</v>
      </c>
      <c r="B1120" t="str">
        <f>"853 889 053 00023"</f>
        <v>853 889 053 00023</v>
      </c>
      <c r="D1120" t="str">
        <f>"CDS OPHTALMOLOGIQUE OPHTA +"</f>
        <v>CDS OPHTALMOLOGIQUE OPHTA +</v>
      </c>
      <c r="E1120" t="str">
        <f>"51/57"</f>
        <v>51/57</v>
      </c>
      <c r="F1120" t="str">
        <f>"51 GRANDE RUE DU GENERAL DE GAULLE"</f>
        <v>51 GRANDE RUE DU GENERAL DE GAULLE</v>
      </c>
      <c r="H1120" t="str">
        <f>"92600"</f>
        <v>92600</v>
      </c>
      <c r="I1120" t="str">
        <f>"ASNIERES SUR SEINE"</f>
        <v>ASNIERES SUR SEINE</v>
      </c>
      <c r="J1120" t="str">
        <f>"01 42 04 91 21 "</f>
        <v xml:space="preserve">01 42 04 91 21 </v>
      </c>
      <c r="L1120" s="1">
        <v>43891</v>
      </c>
      <c r="M1120" t="str">
        <f t="shared" si="190"/>
        <v>124</v>
      </c>
      <c r="N1120" t="str">
        <f t="shared" si="191"/>
        <v>Centre de Santé</v>
      </c>
      <c r="O1120" t="str">
        <f>"60"</f>
        <v>60</v>
      </c>
      <c r="P1120" t="str">
        <f>"Association Loi 1901 non Reconnue d'Utilité Publique"</f>
        <v>Association Loi 1901 non Reconnue d'Utilité Publique</v>
      </c>
      <c r="Q1120" t="str">
        <f t="shared" si="194"/>
        <v>36</v>
      </c>
      <c r="R1120" t="str">
        <f t="shared" si="195"/>
        <v>Tarifs conventionnels assurance maladie</v>
      </c>
      <c r="U1120" t="str">
        <f>"920036217"</f>
        <v>920036217</v>
      </c>
    </row>
    <row r="1121" spans="1:21" x14ac:dyDescent="0.3">
      <c r="A1121" t="str">
        <f>"930028881"</f>
        <v>930028881</v>
      </c>
      <c r="B1121" t="str">
        <f>"842 877 839 00014"</f>
        <v>842 877 839 00014</v>
      </c>
      <c r="D1121" t="str">
        <f>"CDS DENTAIRE DE CLICHY SOUS BOIS"</f>
        <v>CDS DENTAIRE DE CLICHY SOUS BOIS</v>
      </c>
      <c r="F1121" t="str">
        <f>"324 ALLEE ROMAIN ROLLAND"</f>
        <v>324 ALLEE ROMAIN ROLLAND</v>
      </c>
      <c r="H1121" t="str">
        <f>"93390"</f>
        <v>93390</v>
      </c>
      <c r="I1121" t="str">
        <f>"CLICHY SOUS BOIS"</f>
        <v>CLICHY SOUS BOIS</v>
      </c>
      <c r="L1121" s="1">
        <v>43891</v>
      </c>
      <c r="M1121" t="str">
        <f t="shared" si="190"/>
        <v>124</v>
      </c>
      <c r="N1121" t="str">
        <f t="shared" si="191"/>
        <v>Centre de Santé</v>
      </c>
      <c r="O1121" t="str">
        <f>"60"</f>
        <v>60</v>
      </c>
      <c r="P1121" t="str">
        <f>"Association Loi 1901 non Reconnue d'Utilité Publique"</f>
        <v>Association Loi 1901 non Reconnue d'Utilité Publique</v>
      </c>
      <c r="Q1121" t="str">
        <f t="shared" si="194"/>
        <v>36</v>
      </c>
      <c r="R1121" t="str">
        <f t="shared" si="195"/>
        <v>Tarifs conventionnels assurance maladie</v>
      </c>
      <c r="U1121" t="str">
        <f>"930028824"</f>
        <v>930028824</v>
      </c>
    </row>
    <row r="1122" spans="1:21" x14ac:dyDescent="0.3">
      <c r="A1122" t="str">
        <f>"950044677"</f>
        <v>950044677</v>
      </c>
      <c r="D1122" t="str">
        <f>"CDS MEDICO-DENTAIRE ALLEMANE"</f>
        <v>CDS MEDICO-DENTAIRE ALLEMANE</v>
      </c>
      <c r="F1122" t="str">
        <f>"6 BOULEVARD JEAN ALLEMANE"</f>
        <v>6 BOULEVARD JEAN ALLEMANE</v>
      </c>
      <c r="H1122" t="str">
        <f>"95100"</f>
        <v>95100</v>
      </c>
      <c r="I1122" t="str">
        <f>"ARGENTEUIL"</f>
        <v>ARGENTEUIL</v>
      </c>
      <c r="L1122" s="1">
        <v>43891</v>
      </c>
      <c r="M1122" t="str">
        <f t="shared" si="190"/>
        <v>124</v>
      </c>
      <c r="N1122" t="str">
        <f t="shared" si="191"/>
        <v>Centre de Santé</v>
      </c>
      <c r="O1122" t="str">
        <f>"60"</f>
        <v>60</v>
      </c>
      <c r="P1122" t="str">
        <f>"Association Loi 1901 non Reconnue d'Utilité Publique"</f>
        <v>Association Loi 1901 non Reconnue d'Utilité Publique</v>
      </c>
      <c r="Q1122" t="str">
        <f t="shared" si="194"/>
        <v>36</v>
      </c>
      <c r="R1122" t="str">
        <f t="shared" si="195"/>
        <v>Tarifs conventionnels assurance maladie</v>
      </c>
      <c r="U1122" t="str">
        <f>"950044669"</f>
        <v>950044669</v>
      </c>
    </row>
    <row r="1123" spans="1:21" x14ac:dyDescent="0.3">
      <c r="A1123" t="str">
        <f>"300019486"</f>
        <v>300019486</v>
      </c>
      <c r="B1123" t="str">
        <f>"880 554 910 00039"</f>
        <v>880 554 910 00039</v>
      </c>
      <c r="D1123" t="str">
        <f>"CENTRE INFIRMIERS HUMANIDE SANTE"</f>
        <v>CENTRE INFIRMIERS HUMANIDE SANTE</v>
      </c>
      <c r="F1123" t="str">
        <f>"118 AVENUE CLEMENT ADER"</f>
        <v>118 AVENUE CLEMENT ADER</v>
      </c>
      <c r="H1123" t="str">
        <f>"30320"</f>
        <v>30320</v>
      </c>
      <c r="I1123" t="str">
        <f>"MARGUERITTES"</f>
        <v>MARGUERITTES</v>
      </c>
      <c r="J1123" t="str">
        <f>"06 84 16 52 17 "</f>
        <v xml:space="preserve">06 84 16 52 17 </v>
      </c>
      <c r="L1123" s="1">
        <v>43889</v>
      </c>
      <c r="M1123" t="str">
        <f t="shared" si="190"/>
        <v>124</v>
      </c>
      <c r="N1123" t="str">
        <f t="shared" si="191"/>
        <v>Centre de Santé</v>
      </c>
      <c r="O1123" t="str">
        <f>"60"</f>
        <v>60</v>
      </c>
      <c r="P1123" t="str">
        <f>"Association Loi 1901 non Reconnue d'Utilité Publique"</f>
        <v>Association Loi 1901 non Reconnue d'Utilité Publique</v>
      </c>
      <c r="Q1123" t="str">
        <f t="shared" si="194"/>
        <v>36</v>
      </c>
      <c r="R1123" t="str">
        <f t="shared" si="195"/>
        <v>Tarifs conventionnels assurance maladie</v>
      </c>
      <c r="U1123" t="str">
        <f>"300019478"</f>
        <v>300019478</v>
      </c>
    </row>
    <row r="1124" spans="1:21" x14ac:dyDescent="0.3">
      <c r="A1124" t="str">
        <f>"220024616"</f>
        <v>220024616</v>
      </c>
      <c r="D1124" t="str">
        <f>"CDS DE PLERIN"</f>
        <v>CDS DE PLERIN</v>
      </c>
      <c r="F1124" t="str">
        <f>"4 RUE DU COMMERCE"</f>
        <v>4 RUE DU COMMERCE</v>
      </c>
      <c r="H1124" t="str">
        <f>"22190"</f>
        <v>22190</v>
      </c>
      <c r="I1124" t="str">
        <f>"PLERIN"</f>
        <v>PLERIN</v>
      </c>
      <c r="L1124" s="1">
        <v>43888</v>
      </c>
      <c r="M1124" t="str">
        <f t="shared" si="190"/>
        <v>124</v>
      </c>
      <c r="N1124" t="str">
        <f t="shared" si="191"/>
        <v>Centre de Santé</v>
      </c>
      <c r="O1124" t="str">
        <f>"03"</f>
        <v>03</v>
      </c>
      <c r="P1124" t="str">
        <f>"Commune"</f>
        <v>Commune</v>
      </c>
      <c r="Q1124" t="str">
        <f t="shared" si="194"/>
        <v>36</v>
      </c>
      <c r="R1124" t="str">
        <f t="shared" si="195"/>
        <v>Tarifs conventionnels assurance maladie</v>
      </c>
      <c r="U1124" t="str">
        <f>"220024608"</f>
        <v>220024608</v>
      </c>
    </row>
    <row r="1125" spans="1:21" x14ac:dyDescent="0.3">
      <c r="A1125" t="str">
        <f>"950045013"</f>
        <v>950045013</v>
      </c>
      <c r="B1125" t="str">
        <f>"879 920 502 00017"</f>
        <v>879 920 502 00017</v>
      </c>
      <c r="D1125" t="str">
        <f>"CDS CEZANNE"</f>
        <v>CDS CEZANNE</v>
      </c>
      <c r="F1125" t="str">
        <f>"14 AVENUE PAUL CEZANNE"</f>
        <v>14 AVENUE PAUL CEZANNE</v>
      </c>
      <c r="H1125" t="str">
        <f>"95200"</f>
        <v>95200</v>
      </c>
      <c r="I1125" t="str">
        <f>"SARCELLES"</f>
        <v>SARCELLES</v>
      </c>
      <c r="J1125" t="str">
        <f>"01 39 94 14 14 "</f>
        <v xml:space="preserve">01 39 94 14 14 </v>
      </c>
      <c r="L1125" s="1">
        <v>43888</v>
      </c>
      <c r="M1125" t="str">
        <f t="shared" si="190"/>
        <v>124</v>
      </c>
      <c r="N1125" t="str">
        <f t="shared" si="191"/>
        <v>Centre de Santé</v>
      </c>
      <c r="O1125" t="str">
        <f>"60"</f>
        <v>60</v>
      </c>
      <c r="P1125" t="str">
        <f>"Association Loi 1901 non Reconnue d'Utilité Publique"</f>
        <v>Association Loi 1901 non Reconnue d'Utilité Publique</v>
      </c>
      <c r="Q1125" t="str">
        <f t="shared" si="194"/>
        <v>36</v>
      </c>
      <c r="R1125" t="str">
        <f t="shared" si="195"/>
        <v>Tarifs conventionnels assurance maladie</v>
      </c>
      <c r="U1125" t="str">
        <f>"930029582"</f>
        <v>930029582</v>
      </c>
    </row>
    <row r="1126" spans="1:21" x14ac:dyDescent="0.3">
      <c r="A1126" t="str">
        <f>"750065039"</f>
        <v>750065039</v>
      </c>
      <c r="B1126" t="str">
        <f>"879 400 224 00017"</f>
        <v>879 400 224 00017</v>
      </c>
      <c r="D1126" t="str">
        <f>"CDS ACCES VISION PARIS 8"</f>
        <v>CDS ACCES VISION PARIS 8</v>
      </c>
      <c r="F1126" t="str">
        <f>"49 RUE DES MATHURINS"</f>
        <v>49 RUE DES MATHURINS</v>
      </c>
      <c r="H1126" t="str">
        <f>"75008"</f>
        <v>75008</v>
      </c>
      <c r="I1126" t="str">
        <f>"PARIS"</f>
        <v>PARIS</v>
      </c>
      <c r="L1126" s="1">
        <v>43887</v>
      </c>
      <c r="M1126" t="str">
        <f t="shared" si="190"/>
        <v>124</v>
      </c>
      <c r="N1126" t="str">
        <f t="shared" si="191"/>
        <v>Centre de Santé</v>
      </c>
      <c r="O1126" t="str">
        <f>"60"</f>
        <v>60</v>
      </c>
      <c r="P1126" t="str">
        <f>"Association Loi 1901 non Reconnue d'Utilité Publique"</f>
        <v>Association Loi 1901 non Reconnue d'Utilité Publique</v>
      </c>
      <c r="Q1126" t="str">
        <f t="shared" si="194"/>
        <v>36</v>
      </c>
      <c r="R1126" t="str">
        <f t="shared" si="195"/>
        <v>Tarifs conventionnels assurance maladie</v>
      </c>
      <c r="U1126" t="str">
        <f>"750065005"</f>
        <v>750065005</v>
      </c>
    </row>
    <row r="1127" spans="1:21" x14ac:dyDescent="0.3">
      <c r="A1127" t="str">
        <f>"750065138"</f>
        <v>750065138</v>
      </c>
      <c r="B1127" t="str">
        <f>"877 547 901 00018"</f>
        <v>877 547 901 00018</v>
      </c>
      <c r="D1127" t="str">
        <f>"CDS RICHELIEU STUDIO SMILE"</f>
        <v>CDS RICHELIEU STUDIO SMILE</v>
      </c>
      <c r="F1127" t="str">
        <f>"64 RUE RICHELIEU"</f>
        <v>64 RUE RICHELIEU</v>
      </c>
      <c r="H1127" t="str">
        <f>"75002"</f>
        <v>75002</v>
      </c>
      <c r="I1127" t="str">
        <f>"PARIS"</f>
        <v>PARIS</v>
      </c>
      <c r="L1127" s="1">
        <v>43887</v>
      </c>
      <c r="M1127" t="str">
        <f t="shared" si="190"/>
        <v>124</v>
      </c>
      <c r="N1127" t="str">
        <f t="shared" si="191"/>
        <v>Centre de Santé</v>
      </c>
      <c r="O1127" t="str">
        <f>"60"</f>
        <v>60</v>
      </c>
      <c r="P1127" t="str">
        <f>"Association Loi 1901 non Reconnue d'Utilité Publique"</f>
        <v>Association Loi 1901 non Reconnue d'Utilité Publique</v>
      </c>
      <c r="Q1127" t="str">
        <f t="shared" si="194"/>
        <v>36</v>
      </c>
      <c r="R1127" t="str">
        <f t="shared" si="195"/>
        <v>Tarifs conventionnels assurance maladie</v>
      </c>
      <c r="U1127" t="str">
        <f>"750065104"</f>
        <v>750065104</v>
      </c>
    </row>
    <row r="1128" spans="1:21" x14ac:dyDescent="0.3">
      <c r="A1128" t="str">
        <f>"130050859"</f>
        <v>130050859</v>
      </c>
      <c r="B1128" t="str">
        <f>"349 496 174 02175"</f>
        <v>349 496 174 02175</v>
      </c>
      <c r="D1128" t="str">
        <f>"SPOT LONGCHAMP"</f>
        <v>SPOT LONGCHAMP</v>
      </c>
      <c r="F1128" t="str">
        <f>"3 BOULEVARD LONGCHAMP"</f>
        <v>3 BOULEVARD LONGCHAMP</v>
      </c>
      <c r="H1128" t="str">
        <f>"13001"</f>
        <v>13001</v>
      </c>
      <c r="I1128" t="str">
        <f>"MARSEILLE"</f>
        <v>MARSEILLE</v>
      </c>
      <c r="J1128" t="str">
        <f>"04 91 14 05 15 "</f>
        <v xml:space="preserve">04 91 14 05 15 </v>
      </c>
      <c r="L1128" s="1">
        <v>43885</v>
      </c>
      <c r="M1128" t="str">
        <f t="shared" si="190"/>
        <v>124</v>
      </c>
      <c r="N1128" t="str">
        <f t="shared" si="191"/>
        <v>Centre de Santé</v>
      </c>
      <c r="O1128" t="str">
        <f>"61"</f>
        <v>61</v>
      </c>
      <c r="P1128" t="str">
        <f>"Association Loi 1901 Reconnue d'Utilité Publique"</f>
        <v>Association Loi 1901 Reconnue d'Utilité Publique</v>
      </c>
      <c r="Q1128" t="str">
        <f t="shared" si="194"/>
        <v>36</v>
      </c>
      <c r="R1128" t="str">
        <f t="shared" si="195"/>
        <v>Tarifs conventionnels assurance maladie</v>
      </c>
      <c r="U1128" t="str">
        <f>"930013768"</f>
        <v>930013768</v>
      </c>
    </row>
    <row r="1129" spans="1:21" x14ac:dyDescent="0.3">
      <c r="A1129" t="str">
        <f>"660012048"</f>
        <v>660012048</v>
      </c>
      <c r="B1129" t="str">
        <f>"216 601 369 00012"</f>
        <v>216 601 369 00012</v>
      </c>
      <c r="D1129" t="str">
        <f>"CENTRE MEDICAL DE SANTE DE PERPIGNAN"</f>
        <v>CENTRE MEDICAL DE SANTE DE PERPIGNAN</v>
      </c>
      <c r="F1129" t="str">
        <f>"5 RUE DE LA FUSTERIE"</f>
        <v>5 RUE DE LA FUSTERIE</v>
      </c>
      <c r="H1129" t="str">
        <f>"66000"</f>
        <v>66000</v>
      </c>
      <c r="I1129" t="str">
        <f>"PERPIGNAN"</f>
        <v>PERPIGNAN</v>
      </c>
      <c r="J1129" t="str">
        <f>"04 68 66 30 39 "</f>
        <v xml:space="preserve">04 68 66 30 39 </v>
      </c>
      <c r="L1129" s="1">
        <v>43885</v>
      </c>
      <c r="M1129" t="str">
        <f t="shared" si="190"/>
        <v>124</v>
      </c>
      <c r="N1129" t="str">
        <f t="shared" si="191"/>
        <v>Centre de Santé</v>
      </c>
      <c r="O1129" t="str">
        <f>"03"</f>
        <v>03</v>
      </c>
      <c r="P1129" t="str">
        <f>"Commune"</f>
        <v>Commune</v>
      </c>
      <c r="Q1129" t="str">
        <f t="shared" si="194"/>
        <v>36</v>
      </c>
      <c r="R1129" t="str">
        <f t="shared" si="195"/>
        <v>Tarifs conventionnels assurance maladie</v>
      </c>
      <c r="U1129" t="str">
        <f>"660012030"</f>
        <v>660012030</v>
      </c>
    </row>
    <row r="1130" spans="1:21" x14ac:dyDescent="0.3">
      <c r="A1130" t="str">
        <f>"750065096"</f>
        <v>750065096</v>
      </c>
      <c r="B1130" t="str">
        <f>"751 604 406 00015"</f>
        <v>751 604 406 00015</v>
      </c>
      <c r="D1130" t="str">
        <f>"CDS MEDICO-DENTAIRE MONTPARNASSE"</f>
        <v>CDS MEDICO-DENTAIRE MONTPARNASSE</v>
      </c>
      <c r="F1130" t="str">
        <f>"4 PLACE BIENVENUE"</f>
        <v>4 PLACE BIENVENUE</v>
      </c>
      <c r="H1130" t="str">
        <f>"75015"</f>
        <v>75015</v>
      </c>
      <c r="I1130" t="str">
        <f>"PARIS"</f>
        <v>PARIS</v>
      </c>
      <c r="L1130" s="1">
        <v>43885</v>
      </c>
      <c r="M1130" t="str">
        <f t="shared" si="190"/>
        <v>124</v>
      </c>
      <c r="N1130" t="str">
        <f t="shared" si="191"/>
        <v>Centre de Santé</v>
      </c>
      <c r="O1130" t="str">
        <f>"60"</f>
        <v>60</v>
      </c>
      <c r="P1130" t="str">
        <f>"Association Loi 1901 non Reconnue d'Utilité Publique"</f>
        <v>Association Loi 1901 non Reconnue d'Utilité Publique</v>
      </c>
      <c r="Q1130" t="str">
        <f t="shared" si="194"/>
        <v>36</v>
      </c>
      <c r="R1130" t="str">
        <f t="shared" si="195"/>
        <v>Tarifs conventionnels assurance maladie</v>
      </c>
      <c r="U1130" t="str">
        <f>"750050577"</f>
        <v>750050577</v>
      </c>
    </row>
    <row r="1131" spans="1:21" x14ac:dyDescent="0.3">
      <c r="A1131" t="str">
        <f>"310028246"</f>
        <v>310028246</v>
      </c>
      <c r="B1131" t="str">
        <f>"810 995 852 00151"</f>
        <v>810 995 852 00151</v>
      </c>
      <c r="D1131" t="str">
        <f>"CDS DENTAIRE DENTASMILE LAZARE CARNOT"</f>
        <v>CDS DENTAIRE DENTASMILE LAZARE CARNOT</v>
      </c>
      <c r="F1131" t="str">
        <f>"28 BOULEVARD LAZARE CARNOT"</f>
        <v>28 BOULEVARD LAZARE CARNOT</v>
      </c>
      <c r="H1131" t="str">
        <f>"31000"</f>
        <v>31000</v>
      </c>
      <c r="I1131" t="str">
        <f>"TOULOUSE"</f>
        <v>TOULOUSE</v>
      </c>
      <c r="J1131" t="str">
        <f>"06 07 26 25 76 "</f>
        <v xml:space="preserve">06 07 26 25 76 </v>
      </c>
      <c r="L1131" s="1">
        <v>43884</v>
      </c>
      <c r="M1131" t="str">
        <f t="shared" si="190"/>
        <v>124</v>
      </c>
      <c r="N1131" t="str">
        <f t="shared" si="191"/>
        <v>Centre de Santé</v>
      </c>
      <c r="O1131" t="str">
        <f>"60"</f>
        <v>60</v>
      </c>
      <c r="P1131" t="str">
        <f>"Association Loi 1901 non Reconnue d'Utilité Publique"</f>
        <v>Association Loi 1901 non Reconnue d'Utilité Publique</v>
      </c>
      <c r="Q1131" t="str">
        <f t="shared" si="194"/>
        <v>36</v>
      </c>
      <c r="R1131" t="str">
        <f t="shared" si="195"/>
        <v>Tarifs conventionnels assurance maladie</v>
      </c>
      <c r="U1131" t="str">
        <f>"750057440"</f>
        <v>750057440</v>
      </c>
    </row>
    <row r="1132" spans="1:21" x14ac:dyDescent="0.3">
      <c r="A1132" t="str">
        <f>"750064974"</f>
        <v>750064974</v>
      </c>
      <c r="D1132" t="str">
        <f>"CDS BAUCHAT NATION"</f>
        <v>CDS BAUCHAT NATION</v>
      </c>
      <c r="F1132" t="str">
        <f>"24 RUE DU SERGENT BAUCHAT"</f>
        <v>24 RUE DU SERGENT BAUCHAT</v>
      </c>
      <c r="H1132" t="str">
        <f>"75012"</f>
        <v>75012</v>
      </c>
      <c r="I1132" t="str">
        <f>"PARIS"</f>
        <v>PARIS</v>
      </c>
      <c r="L1132" s="1">
        <v>43881</v>
      </c>
      <c r="M1132" t="str">
        <f t="shared" si="190"/>
        <v>124</v>
      </c>
      <c r="N1132" t="str">
        <f t="shared" si="191"/>
        <v>Centre de Santé</v>
      </c>
      <c r="O1132" t="str">
        <f>"63"</f>
        <v>63</v>
      </c>
      <c r="P1132" t="str">
        <f>"Fondation"</f>
        <v>Fondation</v>
      </c>
      <c r="Q1132" t="str">
        <f t="shared" si="194"/>
        <v>36</v>
      </c>
      <c r="R1132" t="str">
        <f t="shared" si="195"/>
        <v>Tarifs conventionnels assurance maladie</v>
      </c>
      <c r="U1132" t="str">
        <f>"750150229"</f>
        <v>750150229</v>
      </c>
    </row>
    <row r="1133" spans="1:21" x14ac:dyDescent="0.3">
      <c r="A1133" t="str">
        <f>"750064982"</f>
        <v>750064982</v>
      </c>
      <c r="D1133" t="str">
        <f>"CDS BAUCHAT NATION"</f>
        <v>CDS BAUCHAT NATION</v>
      </c>
      <c r="F1133" t="str">
        <f>"24 RUE SERGENT BAUCHAT"</f>
        <v>24 RUE SERGENT BAUCHAT</v>
      </c>
      <c r="H1133" t="str">
        <f>"75012"</f>
        <v>75012</v>
      </c>
      <c r="I1133" t="str">
        <f>"PARIS"</f>
        <v>PARIS</v>
      </c>
      <c r="L1133" s="1">
        <v>43881</v>
      </c>
      <c r="M1133" t="str">
        <f t="shared" si="190"/>
        <v>124</v>
      </c>
      <c r="N1133" t="str">
        <f t="shared" si="191"/>
        <v>Centre de Santé</v>
      </c>
      <c r="O1133" t="str">
        <f>"60"</f>
        <v>60</v>
      </c>
      <c r="P1133" t="str">
        <f>"Association Loi 1901 non Reconnue d'Utilité Publique"</f>
        <v>Association Loi 1901 non Reconnue d'Utilité Publique</v>
      </c>
      <c r="Q1133" t="str">
        <f t="shared" si="194"/>
        <v>36</v>
      </c>
      <c r="R1133" t="str">
        <f t="shared" si="195"/>
        <v>Tarifs conventionnels assurance maladie</v>
      </c>
      <c r="U1133" t="str">
        <f>"750006728"</f>
        <v>750006728</v>
      </c>
    </row>
    <row r="1134" spans="1:21" x14ac:dyDescent="0.3">
      <c r="A1134" t="str">
        <f>"920033586"</f>
        <v>920033586</v>
      </c>
      <c r="B1134" t="str">
        <f>"830 073 276 00149"</f>
        <v>830 073 276 00149</v>
      </c>
      <c r="D1134" t="str">
        <f>"CDS DENTAIRE NANTERRE-VILLE"</f>
        <v>CDS DENTAIRE NANTERRE-VILLE</v>
      </c>
      <c r="F1134" t="str">
        <f>"80 RUE MAURICE THOREZ"</f>
        <v>80 RUE MAURICE THOREZ</v>
      </c>
      <c r="H1134" t="str">
        <f>"92000"</f>
        <v>92000</v>
      </c>
      <c r="I1134" t="str">
        <f>"NANTERRE"</f>
        <v>NANTERRE</v>
      </c>
      <c r="J1134" t="str">
        <f>"01 84 20 93 90 "</f>
        <v xml:space="preserve">01 84 20 93 90 </v>
      </c>
      <c r="L1134" s="1">
        <v>43881</v>
      </c>
      <c r="M1134" t="str">
        <f t="shared" si="190"/>
        <v>124</v>
      </c>
      <c r="N1134" t="str">
        <f t="shared" si="191"/>
        <v>Centre de Santé</v>
      </c>
      <c r="O1134" t="str">
        <f>"60"</f>
        <v>60</v>
      </c>
      <c r="P1134" t="str">
        <f>"Association Loi 1901 non Reconnue d'Utilité Publique"</f>
        <v>Association Loi 1901 non Reconnue d'Utilité Publique</v>
      </c>
      <c r="Q1134" t="str">
        <f t="shared" si="194"/>
        <v>36</v>
      </c>
      <c r="R1134" t="str">
        <f t="shared" si="195"/>
        <v>Tarifs conventionnels assurance maladie</v>
      </c>
      <c r="U1134" t="str">
        <f>"750060345"</f>
        <v>750060345</v>
      </c>
    </row>
    <row r="1135" spans="1:21" x14ac:dyDescent="0.3">
      <c r="A1135" t="str">
        <f>"750064909"</f>
        <v>750064909</v>
      </c>
      <c r="B1135" t="str">
        <f>"852 568 971 00018"</f>
        <v>852 568 971 00018</v>
      </c>
      <c r="D1135" t="str">
        <f>"CDS DENTAIRE NETTER"</f>
        <v>CDS DENTAIRE NETTER</v>
      </c>
      <c r="F1135" t="str">
        <f>"71 AVENUE DU DR ARNOLD NETTER"</f>
        <v>71 AVENUE DU DR ARNOLD NETTER</v>
      </c>
      <c r="H1135" t="str">
        <f>"75012"</f>
        <v>75012</v>
      </c>
      <c r="I1135" t="str">
        <f>"PARIS"</f>
        <v>PARIS</v>
      </c>
      <c r="L1135" s="1">
        <v>43879</v>
      </c>
      <c r="M1135" t="str">
        <f t="shared" si="190"/>
        <v>124</v>
      </c>
      <c r="N1135" t="str">
        <f t="shared" si="191"/>
        <v>Centre de Santé</v>
      </c>
      <c r="O1135" t="str">
        <f>"60"</f>
        <v>60</v>
      </c>
      <c r="P1135" t="str">
        <f>"Association Loi 1901 non Reconnue d'Utilité Publique"</f>
        <v>Association Loi 1901 non Reconnue d'Utilité Publique</v>
      </c>
      <c r="Q1135" t="str">
        <f t="shared" si="194"/>
        <v>36</v>
      </c>
      <c r="R1135" t="str">
        <f t="shared" si="195"/>
        <v>Tarifs conventionnels assurance maladie</v>
      </c>
      <c r="U1135" t="str">
        <f>"750064628"</f>
        <v>750064628</v>
      </c>
    </row>
    <row r="1136" spans="1:21" x14ac:dyDescent="0.3">
      <c r="A1136" t="str">
        <f>"750065120"</f>
        <v>750065120</v>
      </c>
      <c r="B1136" t="str">
        <f>"852 369 057 00017"</f>
        <v>852 369 057 00017</v>
      </c>
      <c r="D1136" t="str">
        <f>"CDS REPUBLIQUE"</f>
        <v>CDS REPUBLIQUE</v>
      </c>
      <c r="F1136" t="str">
        <f>"112 AVENUE DE LA REPUBLIQUE"</f>
        <v>112 AVENUE DE LA REPUBLIQUE</v>
      </c>
      <c r="H1136" t="str">
        <f>"75011"</f>
        <v>75011</v>
      </c>
      <c r="I1136" t="str">
        <f>"PARIS"</f>
        <v>PARIS</v>
      </c>
      <c r="L1136" s="1">
        <v>43879</v>
      </c>
      <c r="M1136" t="str">
        <f t="shared" si="190"/>
        <v>124</v>
      </c>
      <c r="N1136" t="str">
        <f t="shared" si="191"/>
        <v>Centre de Santé</v>
      </c>
      <c r="O1136" t="str">
        <f>"60"</f>
        <v>60</v>
      </c>
      <c r="P1136" t="str">
        <f>"Association Loi 1901 non Reconnue d'Utilité Publique"</f>
        <v>Association Loi 1901 non Reconnue d'Utilité Publique</v>
      </c>
      <c r="Q1136" t="str">
        <f t="shared" si="194"/>
        <v>36</v>
      </c>
      <c r="R1136" t="str">
        <f t="shared" si="195"/>
        <v>Tarifs conventionnels assurance maladie</v>
      </c>
      <c r="U1136" t="str">
        <f>"750065088"</f>
        <v>750065088</v>
      </c>
    </row>
    <row r="1137" spans="1:21" x14ac:dyDescent="0.3">
      <c r="A1137" t="str">
        <f>"930029368"</f>
        <v>930029368</v>
      </c>
      <c r="B1137" t="str">
        <f>"229 300 082 01453"</f>
        <v>229 300 082 01453</v>
      </c>
      <c r="D1137" t="str">
        <f>"CDS BUS DENTAIRE"</f>
        <v>CDS BUS DENTAIRE</v>
      </c>
      <c r="E1137" t="str">
        <f>"ESPLANADE JEAN MOULIN"</f>
        <v>ESPLANADE JEAN MOULIN</v>
      </c>
      <c r="F1137" t="str">
        <f>"93 RUE CARNOT"</f>
        <v>93 RUE CARNOT</v>
      </c>
      <c r="H1137" t="str">
        <f>"93000"</f>
        <v>93000</v>
      </c>
      <c r="I1137" t="str">
        <f>"BOBIGNY"</f>
        <v>BOBIGNY</v>
      </c>
      <c r="L1137" s="1">
        <v>43879</v>
      </c>
      <c r="M1137" t="str">
        <f t="shared" si="190"/>
        <v>124</v>
      </c>
      <c r="N1137" t="str">
        <f t="shared" si="191"/>
        <v>Centre de Santé</v>
      </c>
      <c r="O1137" t="str">
        <f>"02"</f>
        <v>02</v>
      </c>
      <c r="P1137" t="str">
        <f>"Département"</f>
        <v>Département</v>
      </c>
      <c r="Q1137" t="str">
        <f t="shared" si="194"/>
        <v>36</v>
      </c>
      <c r="R1137" t="str">
        <f t="shared" si="195"/>
        <v>Tarifs conventionnels assurance maladie</v>
      </c>
      <c r="U1137" t="str">
        <f>"930002001"</f>
        <v>930002001</v>
      </c>
    </row>
    <row r="1138" spans="1:21" x14ac:dyDescent="0.3">
      <c r="A1138" t="str">
        <f>"470016759"</f>
        <v>470016759</v>
      </c>
      <c r="B1138" t="str">
        <f>"877 599 233 00013"</f>
        <v>877 599 233 00013</v>
      </c>
      <c r="D1138" t="str">
        <f>"CDS DU LAVARDACAIS"</f>
        <v>CDS DU LAVARDACAIS</v>
      </c>
      <c r="F1138" t="str">
        <f>"4 PLACE DU FOIRAIL"</f>
        <v>4 PLACE DU FOIRAIL</v>
      </c>
      <c r="H1138" t="str">
        <f>"47230"</f>
        <v>47230</v>
      </c>
      <c r="I1138" t="str">
        <f>"LAVARDAC"</f>
        <v>LAVARDAC</v>
      </c>
      <c r="J1138" t="str">
        <f>"06 23 49 00 86 "</f>
        <v xml:space="preserve">06 23 49 00 86 </v>
      </c>
      <c r="L1138" s="1">
        <v>43878</v>
      </c>
      <c r="M1138" t="str">
        <f t="shared" si="190"/>
        <v>124</v>
      </c>
      <c r="N1138" t="str">
        <f t="shared" si="191"/>
        <v>Centre de Santé</v>
      </c>
      <c r="O1138" t="str">
        <f>"60"</f>
        <v>60</v>
      </c>
      <c r="P1138" t="str">
        <f>"Association Loi 1901 non Reconnue d'Utilité Publique"</f>
        <v>Association Loi 1901 non Reconnue d'Utilité Publique</v>
      </c>
      <c r="Q1138" t="str">
        <f t="shared" si="194"/>
        <v>36</v>
      </c>
      <c r="R1138" t="str">
        <f t="shared" si="195"/>
        <v>Tarifs conventionnels assurance maladie</v>
      </c>
      <c r="U1138" t="str">
        <f>"470016742"</f>
        <v>470016742</v>
      </c>
    </row>
    <row r="1139" spans="1:21" x14ac:dyDescent="0.3">
      <c r="A1139" t="str">
        <f>"670019975"</f>
        <v>670019975</v>
      </c>
      <c r="B1139" t="str">
        <f>"843 499 377 00011"</f>
        <v>843 499 377 00011</v>
      </c>
      <c r="D1139" t="str">
        <f>"CTRE MEDICO-DENTAIRE FRANCS BOURGEOIS"</f>
        <v>CTRE MEDICO-DENTAIRE FRANCS BOURGEOIS</v>
      </c>
      <c r="F1139" t="str">
        <f>"6 RUE DES FRANCS BOURGEOIS"</f>
        <v>6 RUE DES FRANCS BOURGEOIS</v>
      </c>
      <c r="H1139" t="str">
        <f>"67000"</f>
        <v>67000</v>
      </c>
      <c r="I1139" t="str">
        <f>"STRASBOURG"</f>
        <v>STRASBOURG</v>
      </c>
      <c r="J1139" t="str">
        <f>"03 67 70 04 15 "</f>
        <v xml:space="preserve">03 67 70 04 15 </v>
      </c>
      <c r="L1139" s="1">
        <v>43878</v>
      </c>
      <c r="M1139" t="str">
        <f t="shared" si="190"/>
        <v>124</v>
      </c>
      <c r="N1139" t="str">
        <f t="shared" si="191"/>
        <v>Centre de Santé</v>
      </c>
      <c r="O1139" t="str">
        <f>"62"</f>
        <v>62</v>
      </c>
      <c r="P1139" t="str">
        <f>"Association de Droit Local"</f>
        <v>Association de Droit Local</v>
      </c>
      <c r="Q1139" t="str">
        <f t="shared" si="194"/>
        <v>36</v>
      </c>
      <c r="R1139" t="str">
        <f t="shared" si="195"/>
        <v>Tarifs conventionnels assurance maladie</v>
      </c>
      <c r="U1139" t="str">
        <f>"670019967"</f>
        <v>670019967</v>
      </c>
    </row>
    <row r="1140" spans="1:21" x14ac:dyDescent="0.3">
      <c r="A1140" t="str">
        <f>"750065112"</f>
        <v>750065112</v>
      </c>
      <c r="B1140" t="str">
        <f>"878 310 689 00012"</f>
        <v>878 310 689 00012</v>
      </c>
      <c r="D1140" t="str">
        <f>"CDS MEDICO-DENTAIRE DE REPUBLIQUE"</f>
        <v>CDS MEDICO-DENTAIRE DE REPUBLIQUE</v>
      </c>
      <c r="F1140" t="str">
        <f>"13 AVENUE DE LA REPUBLIQUE"</f>
        <v>13 AVENUE DE LA REPUBLIQUE</v>
      </c>
      <c r="H1140" t="str">
        <f>"75011"</f>
        <v>75011</v>
      </c>
      <c r="I1140" t="str">
        <f>"PARIS"</f>
        <v>PARIS</v>
      </c>
      <c r="L1140" s="1">
        <v>43878</v>
      </c>
      <c r="M1140" t="str">
        <f t="shared" si="190"/>
        <v>124</v>
      </c>
      <c r="N1140" t="str">
        <f t="shared" si="191"/>
        <v>Centre de Santé</v>
      </c>
      <c r="O1140" t="str">
        <f>"60"</f>
        <v>60</v>
      </c>
      <c r="P1140" t="str">
        <f>"Association Loi 1901 non Reconnue d'Utilité Publique"</f>
        <v>Association Loi 1901 non Reconnue d'Utilité Publique</v>
      </c>
      <c r="Q1140" t="str">
        <f t="shared" si="194"/>
        <v>36</v>
      </c>
      <c r="R1140" t="str">
        <f t="shared" si="195"/>
        <v>Tarifs conventionnels assurance maladie</v>
      </c>
      <c r="U1140" t="str">
        <f>"750064644"</f>
        <v>750064644</v>
      </c>
    </row>
    <row r="1141" spans="1:21" x14ac:dyDescent="0.3">
      <c r="A1141" t="str">
        <f>"770022127"</f>
        <v>770022127</v>
      </c>
      <c r="B1141" t="str">
        <f>"831 695 176 00014"</f>
        <v>831 695 176 00014</v>
      </c>
      <c r="D1141" t="str">
        <f>"CDS MEDICO-DENTAIRE CESSON"</f>
        <v>CDS MEDICO-DENTAIRE CESSON</v>
      </c>
      <c r="E1141" t="str">
        <f>"CENTRE COMMERCIAL BOIS SENART"</f>
        <v>CENTRE COMMERCIAL BOIS SENART</v>
      </c>
      <c r="F1141" t="str">
        <f>"ROUTE DEPARTEMENTALE 306"</f>
        <v>ROUTE DEPARTEMENTALE 306</v>
      </c>
      <c r="H1141" t="str">
        <f>"77240"</f>
        <v>77240</v>
      </c>
      <c r="I1141" t="str">
        <f>"CESSON"</f>
        <v>CESSON</v>
      </c>
      <c r="L1141" s="1">
        <v>43878</v>
      </c>
      <c r="M1141" t="str">
        <f t="shared" si="190"/>
        <v>124</v>
      </c>
      <c r="N1141" t="str">
        <f t="shared" si="191"/>
        <v>Centre de Santé</v>
      </c>
      <c r="O1141" t="str">
        <f>"60"</f>
        <v>60</v>
      </c>
      <c r="P1141" t="str">
        <f>"Association Loi 1901 non Reconnue d'Utilité Publique"</f>
        <v>Association Loi 1901 non Reconnue d'Utilité Publique</v>
      </c>
      <c r="Q1141" t="str">
        <f t="shared" si="194"/>
        <v>36</v>
      </c>
      <c r="R1141" t="str">
        <f t="shared" si="195"/>
        <v>Tarifs conventionnels assurance maladie</v>
      </c>
      <c r="U1141" t="str">
        <f>"770022119"</f>
        <v>770022119</v>
      </c>
    </row>
    <row r="1142" spans="1:21" x14ac:dyDescent="0.3">
      <c r="A1142" t="str">
        <f>"590063111"</f>
        <v>590063111</v>
      </c>
      <c r="B1142" t="str">
        <f>"879 781 219 00016"</f>
        <v>879 781 219 00016</v>
      </c>
      <c r="D1142" t="str">
        <f>"CSI LILLE"</f>
        <v>CSI LILLE</v>
      </c>
      <c r="F1142" t="str">
        <f>"47 RUE FOURIER"</f>
        <v>47 RUE FOURIER</v>
      </c>
      <c r="H1142" t="str">
        <f>"59000"</f>
        <v>59000</v>
      </c>
      <c r="I1142" t="str">
        <f>"LILLE"</f>
        <v>LILLE</v>
      </c>
      <c r="L1142" s="1">
        <v>43875</v>
      </c>
      <c r="M1142" t="str">
        <f t="shared" si="190"/>
        <v>124</v>
      </c>
      <c r="N1142" t="str">
        <f t="shared" si="191"/>
        <v>Centre de Santé</v>
      </c>
      <c r="O1142" t="str">
        <f>"61"</f>
        <v>61</v>
      </c>
      <c r="P1142" t="str">
        <f>"Association Loi 1901 Reconnue d'Utilité Publique"</f>
        <v>Association Loi 1901 Reconnue d'Utilité Publique</v>
      </c>
      <c r="Q1142" t="str">
        <f t="shared" si="194"/>
        <v>36</v>
      </c>
      <c r="R1142" t="str">
        <f t="shared" si="195"/>
        <v>Tarifs conventionnels assurance maladie</v>
      </c>
      <c r="U1142" t="str">
        <f>"590063103"</f>
        <v>590063103</v>
      </c>
    </row>
    <row r="1143" spans="1:21" x14ac:dyDescent="0.3">
      <c r="A1143" t="str">
        <f>"760038513"</f>
        <v>760038513</v>
      </c>
      <c r="B1143" t="str">
        <f>"878 743 269 00010"</f>
        <v>878 743 269 00010</v>
      </c>
      <c r="D1143" t="str">
        <f>"CENTRE DE SANTE DENTAIRE ROUEN"</f>
        <v>CENTRE DE SANTE DENTAIRE ROUEN</v>
      </c>
      <c r="F1143" t="str">
        <f>"54 RUE DE LA CHAMPMESLE"</f>
        <v>54 RUE DE LA CHAMPMESLE</v>
      </c>
      <c r="H1143" t="str">
        <f>"76000"</f>
        <v>76000</v>
      </c>
      <c r="I1143" t="str">
        <f>"ROUEN"</f>
        <v>ROUEN</v>
      </c>
      <c r="J1143" t="str">
        <f>"02 77 41 63 49 "</f>
        <v xml:space="preserve">02 77 41 63 49 </v>
      </c>
      <c r="L1143" s="1">
        <v>43872</v>
      </c>
      <c r="M1143" t="str">
        <f t="shared" si="190"/>
        <v>124</v>
      </c>
      <c r="N1143" t="str">
        <f t="shared" si="191"/>
        <v>Centre de Santé</v>
      </c>
      <c r="O1143" t="str">
        <f>"60"</f>
        <v>60</v>
      </c>
      <c r="P1143" t="str">
        <f>"Association Loi 1901 non Reconnue d'Utilité Publique"</f>
        <v>Association Loi 1901 non Reconnue d'Utilité Publique</v>
      </c>
      <c r="Q1143" t="str">
        <f t="shared" si="194"/>
        <v>36</v>
      </c>
      <c r="R1143" t="str">
        <f t="shared" si="195"/>
        <v>Tarifs conventionnels assurance maladie</v>
      </c>
      <c r="U1143" t="str">
        <f>"760038505"</f>
        <v>760038505</v>
      </c>
    </row>
    <row r="1144" spans="1:21" x14ac:dyDescent="0.3">
      <c r="A1144" t="str">
        <f>"760038273"</f>
        <v>760038273</v>
      </c>
      <c r="B1144" t="str">
        <f>"849 688 114 00024"</f>
        <v>849 688 114 00024</v>
      </c>
      <c r="D1144" t="str">
        <f>"CDS DENTAIRE LE HAVRE - REPUBLIQUE"</f>
        <v>CDS DENTAIRE LE HAVRE - REPUBLIQUE</v>
      </c>
      <c r="F1144" t="str">
        <f>"101 COURS DE LA REPUBLIQUE"</f>
        <v>101 COURS DE LA REPUBLIQUE</v>
      </c>
      <c r="H1144" t="str">
        <f>"76600"</f>
        <v>76600</v>
      </c>
      <c r="I1144" t="str">
        <f>"LE HAVRE"</f>
        <v>LE HAVRE</v>
      </c>
      <c r="J1144" t="str">
        <f>"02 77 38 87 44 "</f>
        <v xml:space="preserve">02 77 38 87 44 </v>
      </c>
      <c r="L1144" s="1">
        <v>43871</v>
      </c>
      <c r="M1144" t="str">
        <f t="shared" si="190"/>
        <v>124</v>
      </c>
      <c r="N1144" t="str">
        <f t="shared" si="191"/>
        <v>Centre de Santé</v>
      </c>
      <c r="O1144" t="str">
        <f>"60"</f>
        <v>60</v>
      </c>
      <c r="P1144" t="str">
        <f>"Association Loi 1901 non Reconnue d'Utilité Publique"</f>
        <v>Association Loi 1901 non Reconnue d'Utilité Publique</v>
      </c>
      <c r="Q1144" t="str">
        <f t="shared" si="194"/>
        <v>36</v>
      </c>
      <c r="R1144" t="str">
        <f t="shared" si="195"/>
        <v>Tarifs conventionnels assurance maladie</v>
      </c>
      <c r="U1144" t="str">
        <f>"760038935"</f>
        <v>760038935</v>
      </c>
    </row>
    <row r="1145" spans="1:21" x14ac:dyDescent="0.3">
      <c r="A1145" t="str">
        <f>"780027827"</f>
        <v>780027827</v>
      </c>
      <c r="B1145" t="str">
        <f>"853 853 091 00017"</f>
        <v>853 853 091 00017</v>
      </c>
      <c r="D1145" t="str">
        <f>"CDS DENTAIRE SQY SANTE"</f>
        <v>CDS DENTAIRE SQY SANTE</v>
      </c>
      <c r="F1145" t="str">
        <f>"2 RUE MARCEL PROUST"</f>
        <v>2 RUE MARCEL PROUST</v>
      </c>
      <c r="H1145" t="str">
        <f>"78180"</f>
        <v>78180</v>
      </c>
      <c r="I1145" t="str">
        <f>"MONTIGNY LE BRETONNEUX"</f>
        <v>MONTIGNY LE BRETONNEUX</v>
      </c>
      <c r="L1145" s="1">
        <v>43871</v>
      </c>
      <c r="M1145" t="str">
        <f t="shared" si="190"/>
        <v>124</v>
      </c>
      <c r="N1145" t="str">
        <f t="shared" si="191"/>
        <v>Centre de Santé</v>
      </c>
      <c r="O1145" t="str">
        <f>"60"</f>
        <v>60</v>
      </c>
      <c r="P1145" t="str">
        <f>"Association Loi 1901 non Reconnue d'Utilité Publique"</f>
        <v>Association Loi 1901 non Reconnue d'Utilité Publique</v>
      </c>
      <c r="Q1145" t="str">
        <f t="shared" si="194"/>
        <v>36</v>
      </c>
      <c r="R1145" t="str">
        <f t="shared" si="195"/>
        <v>Tarifs conventionnels assurance maladie</v>
      </c>
      <c r="U1145" t="str">
        <f>"780027769"</f>
        <v>780027769</v>
      </c>
    </row>
    <row r="1146" spans="1:21" x14ac:dyDescent="0.3">
      <c r="A1146" t="str">
        <f>"830024980"</f>
        <v>830024980</v>
      </c>
      <c r="B1146" t="str">
        <f>"198 307 662 00017"</f>
        <v>198 307 662 00017</v>
      </c>
      <c r="D1146" t="str">
        <f>"CDS POLYVALENT SUMPPS TOULON"</f>
        <v>CDS POLYVALENT SUMPPS TOULON</v>
      </c>
      <c r="E1146" t="str">
        <f>"CAMPUS DE LA GARDE"</f>
        <v>CAMPUS DE LA GARDE</v>
      </c>
      <c r="F1146" t="str">
        <f>"BATIMENT EVE"</f>
        <v>BATIMENT EVE</v>
      </c>
      <c r="G1146" t="str">
        <f>"CS 60584"</f>
        <v>CS 60584</v>
      </c>
      <c r="H1146" t="str">
        <f>"83130"</f>
        <v>83130</v>
      </c>
      <c r="I1146" t="str">
        <f>"LA GARDE"</f>
        <v>LA GARDE</v>
      </c>
      <c r="J1146" t="str">
        <f>"04 94 14 23 69 "</f>
        <v xml:space="preserve">04 94 14 23 69 </v>
      </c>
      <c r="L1146" s="1">
        <v>43871</v>
      </c>
      <c r="M1146" t="str">
        <f t="shared" si="190"/>
        <v>124</v>
      </c>
      <c r="N1146" t="str">
        <f t="shared" si="191"/>
        <v>Centre de Santé</v>
      </c>
      <c r="O1146" t="str">
        <f>"26"</f>
        <v>26</v>
      </c>
      <c r="P1146" t="str">
        <f>"Autre Etablissement Public à Caractère Administratif"</f>
        <v>Autre Etablissement Public à Caractère Administratif</v>
      </c>
      <c r="Q1146" t="str">
        <f t="shared" si="194"/>
        <v>36</v>
      </c>
      <c r="R1146" t="str">
        <f t="shared" si="195"/>
        <v>Tarifs conventionnels assurance maladie</v>
      </c>
      <c r="U1146" t="str">
        <f>"830024972"</f>
        <v>830024972</v>
      </c>
    </row>
    <row r="1147" spans="1:21" x14ac:dyDescent="0.3">
      <c r="A1147" t="str">
        <f>"920036233"</f>
        <v>920036233</v>
      </c>
      <c r="D1147" t="str">
        <f>"CMS LES EPINETTES ISSY LES MOULINEAUX"</f>
        <v>CMS LES EPINETTES ISSY LES MOULINEAUX</v>
      </c>
      <c r="F1147" t="str">
        <f>"44 RUE D'EREVAN"</f>
        <v>44 RUE D'EREVAN</v>
      </c>
      <c r="H1147" t="str">
        <f>"92130"</f>
        <v>92130</v>
      </c>
      <c r="I1147" t="str">
        <f>"ISSY LES MOULINEAUX"</f>
        <v>ISSY LES MOULINEAUX</v>
      </c>
      <c r="L1147" s="1">
        <v>43871</v>
      </c>
      <c r="M1147" t="str">
        <f t="shared" si="190"/>
        <v>124</v>
      </c>
      <c r="N1147" t="str">
        <f t="shared" si="191"/>
        <v>Centre de Santé</v>
      </c>
      <c r="O1147" t="str">
        <f>"17"</f>
        <v>17</v>
      </c>
      <c r="P1147" t="str">
        <f>"Centre Communal d'Action Sociale"</f>
        <v>Centre Communal d'Action Sociale</v>
      </c>
      <c r="Q1147" t="str">
        <f t="shared" si="194"/>
        <v>36</v>
      </c>
      <c r="R1147" t="str">
        <f t="shared" si="195"/>
        <v>Tarifs conventionnels assurance maladie</v>
      </c>
      <c r="U1147" t="str">
        <f>"920807716"</f>
        <v>920807716</v>
      </c>
    </row>
    <row r="1148" spans="1:21" x14ac:dyDescent="0.3">
      <c r="A1148" t="str">
        <f>"930029566"</f>
        <v>930029566</v>
      </c>
      <c r="B1148" t="str">
        <f>"853 021 756 00012"</f>
        <v>853 021 756 00012</v>
      </c>
      <c r="D1148" t="str">
        <f>"CDS DENTAIRE SANTEA MONTREUIL"</f>
        <v>CDS DENTAIRE SANTEA MONTREUIL</v>
      </c>
      <c r="F1148" t="str">
        <f>"38 BOULEVARD ROUGET DE LISLE"</f>
        <v>38 BOULEVARD ROUGET DE LISLE</v>
      </c>
      <c r="H1148" t="str">
        <f>"93100"</f>
        <v>93100</v>
      </c>
      <c r="I1148" t="str">
        <f>"MONTREUIL"</f>
        <v>MONTREUIL</v>
      </c>
      <c r="J1148" t="str">
        <f>"01 84 74 07 65 "</f>
        <v xml:space="preserve">01 84 74 07 65 </v>
      </c>
      <c r="L1148" s="1">
        <v>43871</v>
      </c>
      <c r="M1148" t="str">
        <f t="shared" si="190"/>
        <v>124</v>
      </c>
      <c r="N1148" t="str">
        <f t="shared" si="191"/>
        <v>Centre de Santé</v>
      </c>
      <c r="O1148" t="str">
        <f>"60"</f>
        <v>60</v>
      </c>
      <c r="P1148" t="str">
        <f>"Association Loi 1901 non Reconnue d'Utilité Publique"</f>
        <v>Association Loi 1901 non Reconnue d'Utilité Publique</v>
      </c>
      <c r="Q1148" t="str">
        <f t="shared" si="194"/>
        <v>36</v>
      </c>
      <c r="R1148" t="str">
        <f t="shared" si="195"/>
        <v>Tarifs conventionnels assurance maladie</v>
      </c>
      <c r="U1148" t="str">
        <f>"930029392"</f>
        <v>930029392</v>
      </c>
    </row>
    <row r="1149" spans="1:21" x14ac:dyDescent="0.3">
      <c r="A1149" t="str">
        <f>"460006844"</f>
        <v>460006844</v>
      </c>
      <c r="B1149" t="str">
        <f>"130 030 158 00021"</f>
        <v>130 030 158 00021</v>
      </c>
      <c r="D1149" t="str">
        <f>"CENTRE DE SANTE DE MA REGION A SALVIAC"</f>
        <v>CENTRE DE SANTE DE MA REGION A SALVIAC</v>
      </c>
      <c r="F1149" t="str">
        <f>"125 LES CROZES HAUTES"</f>
        <v>125 LES CROZES HAUTES</v>
      </c>
      <c r="G1149" t="str">
        <f>"LIEU DIT LES CROZES"</f>
        <v>LIEU DIT LES CROZES</v>
      </c>
      <c r="H1149" t="str">
        <f>"46340"</f>
        <v>46340</v>
      </c>
      <c r="I1149" t="str">
        <f>"SALVIAC"</f>
        <v>SALVIAC</v>
      </c>
      <c r="J1149" t="str">
        <f>"05 32 09 24 23 "</f>
        <v xml:space="preserve">05 32 09 24 23 </v>
      </c>
      <c r="L1149" s="1">
        <v>43870</v>
      </c>
      <c r="M1149" t="str">
        <f t="shared" si="190"/>
        <v>124</v>
      </c>
      <c r="N1149" t="str">
        <f t="shared" si="191"/>
        <v>Centre de Santé</v>
      </c>
      <c r="O1149" t="str">
        <f>"04"</f>
        <v>04</v>
      </c>
      <c r="P1149" t="str">
        <f>"Région"</f>
        <v>Région</v>
      </c>
      <c r="Q1149" t="str">
        <f>"99"</f>
        <v>99</v>
      </c>
      <c r="R1149" t="str">
        <f>"Indéterminé"</f>
        <v>Indéterminé</v>
      </c>
      <c r="U1149" t="str">
        <f>"310034392"</f>
        <v>310034392</v>
      </c>
    </row>
    <row r="1150" spans="1:21" x14ac:dyDescent="0.3">
      <c r="A1150" t="str">
        <f>"700005788"</f>
        <v>700005788</v>
      </c>
      <c r="B1150" t="str">
        <f>"318 010 600 00068"</f>
        <v>318 010 600 00068</v>
      </c>
      <c r="D1150" t="str">
        <f>"CENTRE DE SANTE MEDICAL ADMR"</f>
        <v>CENTRE DE SANTE MEDICAL ADMR</v>
      </c>
      <c r="F1150" t="str">
        <f>"3 RUE DES CHENEVIERES"</f>
        <v>3 RUE DES CHENEVIERES</v>
      </c>
      <c r="H1150" t="str">
        <f>"70230"</f>
        <v>70230</v>
      </c>
      <c r="I1150" t="str">
        <f>"MONTBOZON"</f>
        <v>MONTBOZON</v>
      </c>
      <c r="L1150" s="1">
        <v>43867</v>
      </c>
      <c r="M1150" t="str">
        <f t="shared" si="190"/>
        <v>124</v>
      </c>
      <c r="N1150" t="str">
        <f t="shared" si="191"/>
        <v>Centre de Santé</v>
      </c>
      <c r="O1150" t="str">
        <f t="shared" ref="O1150:O1156" si="196">"60"</f>
        <v>60</v>
      </c>
      <c r="P1150" t="str">
        <f t="shared" ref="P1150:P1156" si="197">"Association Loi 1901 non Reconnue d'Utilité Publique"</f>
        <v>Association Loi 1901 non Reconnue d'Utilité Publique</v>
      </c>
      <c r="Q1150" t="str">
        <f t="shared" ref="Q1150:Q1163" si="198">"36"</f>
        <v>36</v>
      </c>
      <c r="R1150" t="str">
        <f t="shared" ref="R1150:R1163" si="199">"Tarifs conventionnels assurance maladie"</f>
        <v>Tarifs conventionnels assurance maladie</v>
      </c>
      <c r="U1150" t="str">
        <f>"700785306"</f>
        <v>700785306</v>
      </c>
    </row>
    <row r="1151" spans="1:21" x14ac:dyDescent="0.3">
      <c r="A1151" t="str">
        <f>"930029319"</f>
        <v>930029319</v>
      </c>
      <c r="D1151" t="str">
        <f>"CDS HYGIE"</f>
        <v>CDS HYGIE</v>
      </c>
      <c r="E1151" t="str">
        <f>"PARC ICADE"</f>
        <v>PARC ICADE</v>
      </c>
      <c r="F1151" t="str">
        <f>"278 AVENUE DES MAGASINS GENERAUX"</f>
        <v>278 AVENUE DES MAGASINS GENERAUX</v>
      </c>
      <c r="H1151" t="str">
        <f>"93300"</f>
        <v>93300</v>
      </c>
      <c r="I1151" t="str">
        <f>"AUBERVILLIERS"</f>
        <v>AUBERVILLIERS</v>
      </c>
      <c r="L1151" s="1">
        <v>43866</v>
      </c>
      <c r="M1151" t="str">
        <f t="shared" si="190"/>
        <v>124</v>
      </c>
      <c r="N1151" t="str">
        <f t="shared" si="191"/>
        <v>Centre de Santé</v>
      </c>
      <c r="O1151" t="str">
        <f t="shared" si="196"/>
        <v>60</v>
      </c>
      <c r="P1151" t="str">
        <f t="shared" si="197"/>
        <v>Association Loi 1901 non Reconnue d'Utilité Publique</v>
      </c>
      <c r="Q1151" t="str">
        <f t="shared" si="198"/>
        <v>36</v>
      </c>
      <c r="R1151" t="str">
        <f t="shared" si="199"/>
        <v>Tarifs conventionnels assurance maladie</v>
      </c>
      <c r="U1151" t="str">
        <f>"930029285"</f>
        <v>930029285</v>
      </c>
    </row>
    <row r="1152" spans="1:21" x14ac:dyDescent="0.3">
      <c r="A1152" t="str">
        <f>"770023174"</f>
        <v>770023174</v>
      </c>
      <c r="B1152" t="str">
        <f>"853 025 518 00012"</f>
        <v>853 025 518 00012</v>
      </c>
      <c r="D1152" t="str">
        <f>"CDS DENTAIRE MONTEVRAIN"</f>
        <v>CDS DENTAIRE MONTEVRAIN</v>
      </c>
      <c r="F1152" t="str">
        <f>"3 PLACE JEAN MONNET"</f>
        <v>3 PLACE JEAN MONNET</v>
      </c>
      <c r="H1152" t="str">
        <f>"77144"</f>
        <v>77144</v>
      </c>
      <c r="I1152" t="str">
        <f>"MONTEVRAIN"</f>
        <v>MONTEVRAIN</v>
      </c>
      <c r="L1152" s="1">
        <v>43865</v>
      </c>
      <c r="M1152" t="str">
        <f t="shared" si="190"/>
        <v>124</v>
      </c>
      <c r="N1152" t="str">
        <f t="shared" si="191"/>
        <v>Centre de Santé</v>
      </c>
      <c r="O1152" t="str">
        <f t="shared" si="196"/>
        <v>60</v>
      </c>
      <c r="P1152" t="str">
        <f t="shared" si="197"/>
        <v>Association Loi 1901 non Reconnue d'Utilité Publique</v>
      </c>
      <c r="Q1152" t="str">
        <f t="shared" si="198"/>
        <v>36</v>
      </c>
      <c r="R1152" t="str">
        <f t="shared" si="199"/>
        <v>Tarifs conventionnels assurance maladie</v>
      </c>
      <c r="U1152" t="str">
        <f>"770023083"</f>
        <v>770023083</v>
      </c>
    </row>
    <row r="1153" spans="1:21" x14ac:dyDescent="0.3">
      <c r="A1153" t="str">
        <f>"330061037"</f>
        <v>330061037</v>
      </c>
      <c r="B1153" t="str">
        <f>"878 920 099 00016"</f>
        <v>878 920 099 00016</v>
      </c>
      <c r="D1153" t="str">
        <f>"CDS DENTAIRE DU VAL DE FRANCE"</f>
        <v>CDS DENTAIRE DU VAL DE FRANCE</v>
      </c>
      <c r="F1153" t="str">
        <f>"270 BOULEVARD JEAN-JACQUES BOSC"</f>
        <v>270 BOULEVARD JEAN-JACQUES BOSC</v>
      </c>
      <c r="H1153" t="str">
        <f>"33130"</f>
        <v>33130</v>
      </c>
      <c r="I1153" t="str">
        <f>"BEGLES"</f>
        <v>BEGLES</v>
      </c>
      <c r="J1153" t="str">
        <f>"05 56 74 88 59 "</f>
        <v xml:space="preserve">05 56 74 88 59 </v>
      </c>
      <c r="L1153" s="1">
        <v>43864</v>
      </c>
      <c r="M1153" t="str">
        <f t="shared" si="190"/>
        <v>124</v>
      </c>
      <c r="N1153" t="str">
        <f t="shared" si="191"/>
        <v>Centre de Santé</v>
      </c>
      <c r="O1153" t="str">
        <f t="shared" si="196"/>
        <v>60</v>
      </c>
      <c r="P1153" t="str">
        <f t="shared" si="197"/>
        <v>Association Loi 1901 non Reconnue d'Utilité Publique</v>
      </c>
      <c r="Q1153" t="str">
        <f t="shared" si="198"/>
        <v>36</v>
      </c>
      <c r="R1153" t="str">
        <f t="shared" si="199"/>
        <v>Tarifs conventionnels assurance maladie</v>
      </c>
      <c r="U1153" t="str">
        <f>"330061029"</f>
        <v>330061029</v>
      </c>
    </row>
    <row r="1154" spans="1:21" x14ac:dyDescent="0.3">
      <c r="A1154" t="str">
        <f>"070008156"</f>
        <v>070008156</v>
      </c>
      <c r="B1154" t="str">
        <f>"852 340 124 00027"</f>
        <v>852 340 124 00027</v>
      </c>
      <c r="D1154" t="str">
        <f>"CENTRE DE SANTE ADMR LES CEVENNES"</f>
        <v>CENTRE DE SANTE ADMR LES CEVENNES</v>
      </c>
      <c r="F1154" t="str">
        <f>"122 AVENUE FERDINAND JANVIER"</f>
        <v>122 AVENUE FERDINAND JANVIER</v>
      </c>
      <c r="H1154" t="str">
        <f>"07100"</f>
        <v>07100</v>
      </c>
      <c r="I1154" t="str">
        <f>"ANNONAY"</f>
        <v>ANNONAY</v>
      </c>
      <c r="L1154" s="1">
        <v>43862</v>
      </c>
      <c r="M1154" t="str">
        <f t="shared" ref="M1154:M1217" si="200">"124"</f>
        <v>124</v>
      </c>
      <c r="N1154" t="str">
        <f t="shared" ref="N1154:N1217" si="201">"Centre de Santé"</f>
        <v>Centre de Santé</v>
      </c>
      <c r="O1154" t="str">
        <f t="shared" si="196"/>
        <v>60</v>
      </c>
      <c r="P1154" t="str">
        <f t="shared" si="197"/>
        <v>Association Loi 1901 non Reconnue d'Utilité Publique</v>
      </c>
      <c r="Q1154" t="str">
        <f t="shared" si="198"/>
        <v>36</v>
      </c>
      <c r="R1154" t="str">
        <f t="shared" si="199"/>
        <v>Tarifs conventionnels assurance maladie</v>
      </c>
      <c r="U1154" t="str">
        <f>"070008149"</f>
        <v>070008149</v>
      </c>
    </row>
    <row r="1155" spans="1:21" x14ac:dyDescent="0.3">
      <c r="A1155" t="str">
        <f>"420016727"</f>
        <v>420016727</v>
      </c>
      <c r="B1155" t="str">
        <f>"880 064 456 00010"</f>
        <v>880 064 456 00010</v>
      </c>
      <c r="D1155" t="str">
        <f>"CENTRE DE SANTE SAINT-ETIENNE"</f>
        <v>CENTRE DE SANTE SAINT-ETIENNE</v>
      </c>
      <c r="F1155" t="str">
        <f>"1 PLACE FOURNEYRON"</f>
        <v>1 PLACE FOURNEYRON</v>
      </c>
      <c r="H1155" t="str">
        <f>"42000"</f>
        <v>42000</v>
      </c>
      <c r="I1155" t="str">
        <f>"ST ETIENNE"</f>
        <v>ST ETIENNE</v>
      </c>
      <c r="J1155" t="str">
        <f>"06 13 81 27 87 "</f>
        <v xml:space="preserve">06 13 81 27 87 </v>
      </c>
      <c r="L1155" s="1">
        <v>43862</v>
      </c>
      <c r="M1155" t="str">
        <f t="shared" si="200"/>
        <v>124</v>
      </c>
      <c r="N1155" t="str">
        <f t="shared" si="201"/>
        <v>Centre de Santé</v>
      </c>
      <c r="O1155" t="str">
        <f t="shared" si="196"/>
        <v>60</v>
      </c>
      <c r="P1155" t="str">
        <f t="shared" si="197"/>
        <v>Association Loi 1901 non Reconnue d'Utilité Publique</v>
      </c>
      <c r="Q1155" t="str">
        <f t="shared" si="198"/>
        <v>36</v>
      </c>
      <c r="R1155" t="str">
        <f t="shared" si="199"/>
        <v>Tarifs conventionnels assurance maladie</v>
      </c>
      <c r="U1155" t="str">
        <f>"420016719"</f>
        <v>420016719</v>
      </c>
    </row>
    <row r="1156" spans="1:21" x14ac:dyDescent="0.3">
      <c r="A1156" t="str">
        <f>"920036035"</f>
        <v>920036035</v>
      </c>
      <c r="B1156" t="str">
        <f>"854 013 745 00013"</f>
        <v>854 013 745 00013</v>
      </c>
      <c r="D1156" t="str">
        <f>"CDS DENTAIRE ET OPHTA ISSY 3 MOULINS"</f>
        <v>CDS DENTAIRE ET OPHTA ISSY 3 MOULINS</v>
      </c>
      <c r="E1156" t="str">
        <f>"CCIAL ISSY 3 MOULINS"</f>
        <v>CCIAL ISSY 3 MOULINS</v>
      </c>
      <c r="F1156" t="str">
        <f>"3 ALLEE SAINTE LUCIE"</f>
        <v>3 ALLEE SAINTE LUCIE</v>
      </c>
      <c r="H1156" t="str">
        <f>"92130"</f>
        <v>92130</v>
      </c>
      <c r="I1156" t="str">
        <f>"ISSY LES MOULINEAUX"</f>
        <v>ISSY LES MOULINEAUX</v>
      </c>
      <c r="L1156" s="1">
        <v>43862</v>
      </c>
      <c r="M1156" t="str">
        <f t="shared" si="200"/>
        <v>124</v>
      </c>
      <c r="N1156" t="str">
        <f t="shared" si="201"/>
        <v>Centre de Santé</v>
      </c>
      <c r="O1156" t="str">
        <f t="shared" si="196"/>
        <v>60</v>
      </c>
      <c r="P1156" t="str">
        <f t="shared" si="197"/>
        <v>Association Loi 1901 non Reconnue d'Utilité Publique</v>
      </c>
      <c r="Q1156" t="str">
        <f t="shared" si="198"/>
        <v>36</v>
      </c>
      <c r="R1156" t="str">
        <f t="shared" si="199"/>
        <v>Tarifs conventionnels assurance maladie</v>
      </c>
      <c r="U1156" t="str">
        <f>"920036001"</f>
        <v>920036001</v>
      </c>
    </row>
    <row r="1157" spans="1:21" x14ac:dyDescent="0.3">
      <c r="A1157" t="str">
        <f>"560029928"</f>
        <v>560029928</v>
      </c>
      <c r="D1157" t="str">
        <f>"CDS DE ROHAN"</f>
        <v>CDS DE ROHAN</v>
      </c>
      <c r="F1157" t="str">
        <f>"9 RUE DU CHATEAU"</f>
        <v>9 RUE DU CHATEAU</v>
      </c>
      <c r="H1157" t="str">
        <f>"56580"</f>
        <v>56580</v>
      </c>
      <c r="I1157" t="str">
        <f>"ROHAN"</f>
        <v>ROHAN</v>
      </c>
      <c r="L1157" s="1">
        <v>43861</v>
      </c>
      <c r="M1157" t="str">
        <f t="shared" si="200"/>
        <v>124</v>
      </c>
      <c r="N1157" t="str">
        <f t="shared" si="201"/>
        <v>Centre de Santé</v>
      </c>
      <c r="O1157" t="str">
        <f>"03"</f>
        <v>03</v>
      </c>
      <c r="P1157" t="str">
        <f>"Commune"</f>
        <v>Commune</v>
      </c>
      <c r="Q1157" t="str">
        <f t="shared" si="198"/>
        <v>36</v>
      </c>
      <c r="R1157" t="str">
        <f t="shared" si="199"/>
        <v>Tarifs conventionnels assurance maladie</v>
      </c>
      <c r="U1157" t="str">
        <f>"560029910"</f>
        <v>560029910</v>
      </c>
    </row>
    <row r="1158" spans="1:21" x14ac:dyDescent="0.3">
      <c r="A1158" t="str">
        <f>"920034030"</f>
        <v>920034030</v>
      </c>
      <c r="B1158" t="str">
        <f>"848 826 145 00015"</f>
        <v>848 826 145 00015</v>
      </c>
      <c r="D1158" t="str">
        <f>"CDS DENTAIRE DENTICLINIC"</f>
        <v>CDS DENTAIRE DENTICLINIC</v>
      </c>
      <c r="F1158" t="str">
        <f>"36 AVENUE PIERRE GRENIER"</f>
        <v>36 AVENUE PIERRE GRENIER</v>
      </c>
      <c r="H1158" t="str">
        <f>"92100"</f>
        <v>92100</v>
      </c>
      <c r="I1158" t="str">
        <f>"BOULOGNE BILLANCOURT"</f>
        <v>BOULOGNE BILLANCOURT</v>
      </c>
      <c r="L1158" s="1">
        <v>43859</v>
      </c>
      <c r="M1158" t="str">
        <f t="shared" si="200"/>
        <v>124</v>
      </c>
      <c r="N1158" t="str">
        <f t="shared" si="201"/>
        <v>Centre de Santé</v>
      </c>
      <c r="O1158" t="str">
        <f>"60"</f>
        <v>60</v>
      </c>
      <c r="P1158" t="str">
        <f>"Association Loi 1901 non Reconnue d'Utilité Publique"</f>
        <v>Association Loi 1901 non Reconnue d'Utilité Publique</v>
      </c>
      <c r="Q1158" t="str">
        <f t="shared" si="198"/>
        <v>36</v>
      </c>
      <c r="R1158" t="str">
        <f t="shared" si="199"/>
        <v>Tarifs conventionnels assurance maladie</v>
      </c>
      <c r="U1158" t="str">
        <f>"920033958"</f>
        <v>920033958</v>
      </c>
    </row>
    <row r="1159" spans="1:21" x14ac:dyDescent="0.3">
      <c r="A1159" t="str">
        <f>"600014997"</f>
        <v>600014997</v>
      </c>
      <c r="B1159" t="str">
        <f>"216 004 580 00298"</f>
        <v>216 004 580 00298</v>
      </c>
      <c r="D1159" t="str">
        <f>"CMS DE NOGENT SUR OISE"</f>
        <v>CMS DE NOGENT SUR OISE</v>
      </c>
      <c r="F1159" t="str">
        <f>"95 RUE DU GÉNÉRAL DE GAULLE"</f>
        <v>95 RUE DU GÉNÉRAL DE GAULLE</v>
      </c>
      <c r="H1159" t="str">
        <f>"60180"</f>
        <v>60180</v>
      </c>
      <c r="I1159" t="str">
        <f>"NOGENT SUR OISE"</f>
        <v>NOGENT SUR OISE</v>
      </c>
      <c r="J1159" t="str">
        <f>"03 75 19 01 00 "</f>
        <v xml:space="preserve">03 75 19 01 00 </v>
      </c>
      <c r="L1159" s="1">
        <v>43857</v>
      </c>
      <c r="M1159" t="str">
        <f t="shared" si="200"/>
        <v>124</v>
      </c>
      <c r="N1159" t="str">
        <f t="shared" si="201"/>
        <v>Centre de Santé</v>
      </c>
      <c r="O1159" t="str">
        <f>"61"</f>
        <v>61</v>
      </c>
      <c r="P1159" t="str">
        <f>"Association Loi 1901 Reconnue d'Utilité Publique"</f>
        <v>Association Loi 1901 Reconnue d'Utilité Publique</v>
      </c>
      <c r="Q1159" t="str">
        <f t="shared" si="198"/>
        <v>36</v>
      </c>
      <c r="R1159" t="str">
        <f t="shared" si="199"/>
        <v>Tarifs conventionnels assurance maladie</v>
      </c>
      <c r="U1159" t="str">
        <f>"600014989"</f>
        <v>600014989</v>
      </c>
    </row>
    <row r="1160" spans="1:21" x14ac:dyDescent="0.3">
      <c r="A1160" t="str">
        <f>"210013405"</f>
        <v>210013405</v>
      </c>
      <c r="D1160" t="str">
        <f>"CENTRE DE SANTE ADMR"</f>
        <v>CENTRE DE SANTE ADMR</v>
      </c>
      <c r="F1160" t="str">
        <f>"2 AVENUE ROGER DUCHET"</f>
        <v>2 AVENUE ROGER DUCHET</v>
      </c>
      <c r="H1160" t="str">
        <f>"21200"</f>
        <v>21200</v>
      </c>
      <c r="I1160" t="str">
        <f>"BEAUNE"</f>
        <v>BEAUNE</v>
      </c>
      <c r="L1160" s="1">
        <v>43853</v>
      </c>
      <c r="M1160" t="str">
        <f t="shared" si="200"/>
        <v>124</v>
      </c>
      <c r="N1160" t="str">
        <f t="shared" si="201"/>
        <v>Centre de Santé</v>
      </c>
      <c r="O1160" t="str">
        <f>"60"</f>
        <v>60</v>
      </c>
      <c r="P1160" t="str">
        <f>"Association Loi 1901 non Reconnue d'Utilité Publique"</f>
        <v>Association Loi 1901 non Reconnue d'Utilité Publique</v>
      </c>
      <c r="Q1160" t="str">
        <f t="shared" si="198"/>
        <v>36</v>
      </c>
      <c r="R1160" t="str">
        <f t="shared" si="199"/>
        <v>Tarifs conventionnels assurance maladie</v>
      </c>
      <c r="U1160" t="str">
        <f>"210985735"</f>
        <v>210985735</v>
      </c>
    </row>
    <row r="1161" spans="1:21" x14ac:dyDescent="0.3">
      <c r="A1161" t="str">
        <f>"790020309"</f>
        <v>790020309</v>
      </c>
      <c r="B1161" t="str">
        <f>"781 343 231 00101"</f>
        <v>781 343 231 00101</v>
      </c>
      <c r="D1161" t="str">
        <f>"CDS MELIORIS CHAMPCLAIROT"</f>
        <v>CDS MELIORIS CHAMPCLAIROT</v>
      </c>
      <c r="F1161" t="str">
        <f>"32 RUE SAINTE CATHERINE"</f>
        <v>32 RUE SAINTE CATHERINE</v>
      </c>
      <c r="H1161" t="str">
        <f>"79000"</f>
        <v>79000</v>
      </c>
      <c r="I1161" t="str">
        <f>"NIORT"</f>
        <v>NIORT</v>
      </c>
      <c r="J1161" t="str">
        <f>"05 49 32 39 39 "</f>
        <v xml:space="preserve">05 49 32 39 39 </v>
      </c>
      <c r="L1161" s="1">
        <v>43850</v>
      </c>
      <c r="M1161" t="str">
        <f t="shared" si="200"/>
        <v>124</v>
      </c>
      <c r="N1161" t="str">
        <f t="shared" si="201"/>
        <v>Centre de Santé</v>
      </c>
      <c r="O1161" t="str">
        <f>"60"</f>
        <v>60</v>
      </c>
      <c r="P1161" t="str">
        <f>"Association Loi 1901 non Reconnue d'Utilité Publique"</f>
        <v>Association Loi 1901 non Reconnue d'Utilité Publique</v>
      </c>
      <c r="Q1161" t="str">
        <f t="shared" si="198"/>
        <v>36</v>
      </c>
      <c r="R1161" t="str">
        <f t="shared" si="199"/>
        <v>Tarifs conventionnels assurance maladie</v>
      </c>
      <c r="U1161" t="str">
        <f>"790002497"</f>
        <v>790002497</v>
      </c>
    </row>
    <row r="1162" spans="1:21" x14ac:dyDescent="0.3">
      <c r="A1162" t="str">
        <f>"950044859"</f>
        <v>950044859</v>
      </c>
      <c r="B1162" t="str">
        <f>"878 548 171 00015"</f>
        <v>878 548 171 00015</v>
      </c>
      <c r="D1162" t="str">
        <f>"CDS DENTAIRE DENTAL CARE"</f>
        <v>CDS DENTAIRE DENTAL CARE</v>
      </c>
      <c r="F1162" t="str">
        <f>"2 RUE GUSTAVE EIFFEL"</f>
        <v>2 RUE GUSTAVE EIFFEL</v>
      </c>
      <c r="H1162" t="str">
        <f>"95190"</f>
        <v>95190</v>
      </c>
      <c r="I1162" t="str">
        <f>"GOUSSAINVILLE"</f>
        <v>GOUSSAINVILLE</v>
      </c>
      <c r="L1162" s="1">
        <v>43850</v>
      </c>
      <c r="M1162" t="str">
        <f t="shared" si="200"/>
        <v>124</v>
      </c>
      <c r="N1162" t="str">
        <f t="shared" si="201"/>
        <v>Centre de Santé</v>
      </c>
      <c r="O1162" t="str">
        <f>"60"</f>
        <v>60</v>
      </c>
      <c r="P1162" t="str">
        <f>"Association Loi 1901 non Reconnue d'Utilité Publique"</f>
        <v>Association Loi 1901 non Reconnue d'Utilité Publique</v>
      </c>
      <c r="Q1162" t="str">
        <f t="shared" si="198"/>
        <v>36</v>
      </c>
      <c r="R1162" t="str">
        <f t="shared" si="199"/>
        <v>Tarifs conventionnels assurance maladie</v>
      </c>
      <c r="U1162" t="str">
        <f>"950044842"</f>
        <v>950044842</v>
      </c>
    </row>
    <row r="1163" spans="1:21" x14ac:dyDescent="0.3">
      <c r="A1163" t="str">
        <f>"710016197"</f>
        <v>710016197</v>
      </c>
      <c r="B1163" t="str">
        <f>"775 761 844 01740"</f>
        <v>775 761 844 01740</v>
      </c>
      <c r="D1163" t="str">
        <f>"CENTRE POLYVALENT DU CREUSOT"</f>
        <v>CENTRE POLYVALENT DU CREUSOT</v>
      </c>
      <c r="F1163" t="str">
        <f>"5 RUE LOUIS BLERIOT"</f>
        <v>5 RUE LOUIS BLERIOT</v>
      </c>
      <c r="H1163" t="str">
        <f>"71200"</f>
        <v>71200</v>
      </c>
      <c r="I1163" t="str">
        <f>"LE CREUSOT"</f>
        <v>LE CREUSOT</v>
      </c>
      <c r="L1163" s="1">
        <v>43848</v>
      </c>
      <c r="M1163" t="str">
        <f t="shared" si="200"/>
        <v>124</v>
      </c>
      <c r="N1163" t="str">
        <f t="shared" si="201"/>
        <v>Centre de Santé</v>
      </c>
      <c r="O1163" t="str">
        <f>"47"</f>
        <v>47</v>
      </c>
      <c r="P1163" t="str">
        <f>"Société Mutualiste"</f>
        <v>Société Mutualiste</v>
      </c>
      <c r="Q1163" t="str">
        <f t="shared" si="198"/>
        <v>36</v>
      </c>
      <c r="R1163" t="str">
        <f t="shared" si="199"/>
        <v>Tarifs conventionnels assurance maladie</v>
      </c>
      <c r="U1163" t="str">
        <f>"690048111"</f>
        <v>690048111</v>
      </c>
    </row>
    <row r="1164" spans="1:21" x14ac:dyDescent="0.3">
      <c r="A1164" t="str">
        <f>"370014383"</f>
        <v>370014383</v>
      </c>
      <c r="B1164" t="str">
        <f>"850 353 921 00016"</f>
        <v>850 353 921 00016</v>
      </c>
      <c r="D1164" t="str">
        <f>"CENTRE DENTAIRE CLINIDENT"</f>
        <v>CENTRE DENTAIRE CLINIDENT</v>
      </c>
      <c r="F1164" t="str">
        <f>"178 AVENUE DE GRAMMONT"</f>
        <v>178 AVENUE DE GRAMMONT</v>
      </c>
      <c r="H1164" t="str">
        <f>"37000"</f>
        <v>37000</v>
      </c>
      <c r="I1164" t="str">
        <f>"TOURS"</f>
        <v>TOURS</v>
      </c>
      <c r="J1164" t="str">
        <f>"06 70 40 69 87 "</f>
        <v xml:space="preserve">06 70 40 69 87 </v>
      </c>
      <c r="L1164" s="1">
        <v>43847</v>
      </c>
      <c r="M1164" t="str">
        <f t="shared" si="200"/>
        <v>124</v>
      </c>
      <c r="N1164" t="str">
        <f t="shared" si="201"/>
        <v>Centre de Santé</v>
      </c>
      <c r="O1164" t="str">
        <f>"60"</f>
        <v>60</v>
      </c>
      <c r="P1164" t="str">
        <f>"Association Loi 1901 non Reconnue d'Utilité Publique"</f>
        <v>Association Loi 1901 non Reconnue d'Utilité Publique</v>
      </c>
      <c r="Q1164" t="str">
        <f>"99"</f>
        <v>99</v>
      </c>
      <c r="R1164" t="str">
        <f>"Indéterminé"</f>
        <v>Indéterminé</v>
      </c>
      <c r="U1164" t="str">
        <f>"370014375"</f>
        <v>370014375</v>
      </c>
    </row>
    <row r="1165" spans="1:21" x14ac:dyDescent="0.3">
      <c r="A1165" t="str">
        <f>"930029178"</f>
        <v>930029178</v>
      </c>
      <c r="B1165" t="str">
        <f>"844 975 920 00019"</f>
        <v>844 975 920 00019</v>
      </c>
      <c r="D1165" t="str">
        <f>"CDS DENTAIRE BOBIGNY HOTEL DE VILLE"</f>
        <v>CDS DENTAIRE BOBIGNY HOTEL DE VILLE</v>
      </c>
      <c r="F1165" t="str">
        <f>"19 AVENUE KARL MARX"</f>
        <v>19 AVENUE KARL MARX</v>
      </c>
      <c r="H1165" t="str">
        <f>"93000"</f>
        <v>93000</v>
      </c>
      <c r="I1165" t="str">
        <f>"BOBIGNY"</f>
        <v>BOBIGNY</v>
      </c>
      <c r="J1165" t="str">
        <f>"06 13 58 11 06 "</f>
        <v xml:space="preserve">06 13 58 11 06 </v>
      </c>
      <c r="L1165" s="1">
        <v>43847</v>
      </c>
      <c r="M1165" t="str">
        <f t="shared" si="200"/>
        <v>124</v>
      </c>
      <c r="N1165" t="str">
        <f t="shared" si="201"/>
        <v>Centre de Santé</v>
      </c>
      <c r="O1165" t="str">
        <f>"60"</f>
        <v>60</v>
      </c>
      <c r="P1165" t="str">
        <f>"Association Loi 1901 non Reconnue d'Utilité Publique"</f>
        <v>Association Loi 1901 non Reconnue d'Utilité Publique</v>
      </c>
      <c r="Q1165" t="str">
        <f t="shared" ref="Q1165:Q1196" si="202">"36"</f>
        <v>36</v>
      </c>
      <c r="R1165" t="str">
        <f t="shared" ref="R1165:R1196" si="203">"Tarifs conventionnels assurance maladie"</f>
        <v>Tarifs conventionnels assurance maladie</v>
      </c>
      <c r="U1165" t="str">
        <f>"930029160"</f>
        <v>930029160</v>
      </c>
    </row>
    <row r="1166" spans="1:21" x14ac:dyDescent="0.3">
      <c r="A1166" t="str">
        <f>"650006489"</f>
        <v>650006489</v>
      </c>
      <c r="B1166" t="str">
        <f>"216 500 470 00101"</f>
        <v>216 500 470 00101</v>
      </c>
      <c r="D1166" t="str">
        <f>"CENTRE DE SANTE D'AUREILHAN"</f>
        <v>CENTRE DE SANTE D'AUREILHAN</v>
      </c>
      <c r="F1166" t="str">
        <f>"1 PLACE FRANÇOIS MITTERRAND"</f>
        <v>1 PLACE FRANÇOIS MITTERRAND</v>
      </c>
      <c r="H1166" t="str">
        <f>"65800"</f>
        <v>65800</v>
      </c>
      <c r="I1166" t="str">
        <f>"AUREILHAN"</f>
        <v>AUREILHAN</v>
      </c>
      <c r="J1166" t="str">
        <f>"05 62 44 20 00 "</f>
        <v xml:space="preserve">05 62 44 20 00 </v>
      </c>
      <c r="L1166" s="1">
        <v>43846</v>
      </c>
      <c r="M1166" t="str">
        <f t="shared" si="200"/>
        <v>124</v>
      </c>
      <c r="N1166" t="str">
        <f t="shared" si="201"/>
        <v>Centre de Santé</v>
      </c>
      <c r="O1166" t="str">
        <f>"03"</f>
        <v>03</v>
      </c>
      <c r="P1166" t="str">
        <f>"Commune"</f>
        <v>Commune</v>
      </c>
      <c r="Q1166" t="str">
        <f t="shared" si="202"/>
        <v>36</v>
      </c>
      <c r="R1166" t="str">
        <f t="shared" si="203"/>
        <v>Tarifs conventionnels assurance maladie</v>
      </c>
      <c r="U1166" t="str">
        <f>"650006471"</f>
        <v>650006471</v>
      </c>
    </row>
    <row r="1167" spans="1:21" x14ac:dyDescent="0.3">
      <c r="A1167" t="str">
        <f>"630013993"</f>
        <v>630013993</v>
      </c>
      <c r="D1167" t="str">
        <f>"CENTRE DE SANTE ELSAN LA CHATAIGNERAIE"</f>
        <v>CENTRE DE SANTE ELSAN LA CHATAIGNERAIE</v>
      </c>
      <c r="F1167" t="str">
        <f>"RUE DE LA CHATAIGNERAIE"</f>
        <v>RUE DE LA CHATAIGNERAIE</v>
      </c>
      <c r="G1167" t="str">
        <f>"BP 125"</f>
        <v>BP 125</v>
      </c>
      <c r="H1167" t="str">
        <f>"63110"</f>
        <v>63110</v>
      </c>
      <c r="I1167" t="str">
        <f>"BEAUMONT"</f>
        <v>BEAUMONT</v>
      </c>
      <c r="J1167" t="str">
        <f>"04 73 40 80 30 "</f>
        <v xml:space="preserve">04 73 40 80 30 </v>
      </c>
      <c r="L1167" s="1">
        <v>43845</v>
      </c>
      <c r="M1167" t="str">
        <f t="shared" si="200"/>
        <v>124</v>
      </c>
      <c r="N1167" t="str">
        <f t="shared" si="201"/>
        <v>Centre de Santé</v>
      </c>
      <c r="O1167" t="str">
        <f>"95"</f>
        <v>95</v>
      </c>
      <c r="P1167" t="str">
        <f>"Société par Actions Simplifiée (S.A.S.)"</f>
        <v>Société par Actions Simplifiée (S.A.S.)</v>
      </c>
      <c r="Q1167" t="str">
        <f t="shared" si="202"/>
        <v>36</v>
      </c>
      <c r="R1167" t="str">
        <f t="shared" si="203"/>
        <v>Tarifs conventionnels assurance maladie</v>
      </c>
      <c r="U1167" t="str">
        <f>"630000826"</f>
        <v>630000826</v>
      </c>
    </row>
    <row r="1168" spans="1:21" x14ac:dyDescent="0.3">
      <c r="A1168" t="str">
        <f>"420016750"</f>
        <v>420016750</v>
      </c>
      <c r="B1168" t="str">
        <f>"775 602 436 00708"</f>
        <v>775 602 436 00708</v>
      </c>
      <c r="D1168" t="str">
        <f>"CENTRE DE SANTE OPHTALMOLOGIE MFL SSAM"</f>
        <v>CENTRE DE SANTE OPHTALMOLOGIE MFL SSAM</v>
      </c>
      <c r="F1168" t="str">
        <f>"1 RUE LIEUTENANT MORIN"</f>
        <v>1 RUE LIEUTENANT MORIN</v>
      </c>
      <c r="H1168" t="str">
        <f>"42000"</f>
        <v>42000</v>
      </c>
      <c r="I1168" t="str">
        <f>"ST ETIENNE"</f>
        <v>ST ETIENNE</v>
      </c>
      <c r="J1168" t="str">
        <f>"04 77 12 11 22 "</f>
        <v xml:space="preserve">04 77 12 11 22 </v>
      </c>
      <c r="L1168" s="1">
        <v>43844</v>
      </c>
      <c r="M1168" t="str">
        <f t="shared" si="200"/>
        <v>124</v>
      </c>
      <c r="N1168" t="str">
        <f t="shared" si="201"/>
        <v>Centre de Santé</v>
      </c>
      <c r="O1168" t="str">
        <f>"47"</f>
        <v>47</v>
      </c>
      <c r="P1168" t="str">
        <f>"Société Mutualiste"</f>
        <v>Société Mutualiste</v>
      </c>
      <c r="Q1168" t="str">
        <f t="shared" si="202"/>
        <v>36</v>
      </c>
      <c r="R1168" t="str">
        <f t="shared" si="203"/>
        <v>Tarifs conventionnels assurance maladie</v>
      </c>
      <c r="U1168" t="str">
        <f>"420787061"</f>
        <v>420787061</v>
      </c>
    </row>
    <row r="1169" spans="1:21" x14ac:dyDescent="0.3">
      <c r="A1169" t="str">
        <f>"010011617"</f>
        <v>010011617</v>
      </c>
      <c r="D1169" t="str">
        <f>"CENTRE DE SANTE DU PAYS DE GEX"</f>
        <v>CENTRE DE SANTE DU PAYS DE GEX</v>
      </c>
      <c r="E1169" t="str">
        <f>"HOPITAL LOCAL DU PAYS DE GEX"</f>
        <v>HOPITAL LOCAL DU PAYS DE GEX</v>
      </c>
      <c r="F1169" t="str">
        <f>"160 RUE MARC PANISSOD"</f>
        <v>160 RUE MARC PANISSOD</v>
      </c>
      <c r="H1169" t="str">
        <f>"01170"</f>
        <v>01170</v>
      </c>
      <c r="I1169" t="str">
        <f>"GEX"</f>
        <v>GEX</v>
      </c>
      <c r="L1169" s="1">
        <v>43843</v>
      </c>
      <c r="M1169" t="str">
        <f t="shared" si="200"/>
        <v>124</v>
      </c>
      <c r="N1169" t="str">
        <f t="shared" si="201"/>
        <v>Centre de Santé</v>
      </c>
      <c r="O1169" t="str">
        <f>"06"</f>
        <v>06</v>
      </c>
      <c r="P1169" t="str">
        <f>"Autre Collectivité Territoriale"</f>
        <v>Autre Collectivité Territoriale</v>
      </c>
      <c r="Q1169" t="str">
        <f t="shared" si="202"/>
        <v>36</v>
      </c>
      <c r="R1169" t="str">
        <f t="shared" si="203"/>
        <v>Tarifs conventionnels assurance maladie</v>
      </c>
      <c r="U1169" t="str">
        <f>"010011609"</f>
        <v>010011609</v>
      </c>
    </row>
    <row r="1170" spans="1:21" x14ac:dyDescent="0.3">
      <c r="A1170" t="str">
        <f>"140032665"</f>
        <v>140032665</v>
      </c>
      <c r="B1170" t="str">
        <f>"849 687 298 00026"</f>
        <v>849 687 298 00026</v>
      </c>
      <c r="D1170" t="str">
        <f>"CDS DENTAIRE ADIDF CAEN"</f>
        <v>CDS DENTAIRE ADIDF CAEN</v>
      </c>
      <c r="F1170" t="str">
        <f>"6 RUE DE VAUCELLES"</f>
        <v>6 RUE DE VAUCELLES</v>
      </c>
      <c r="H1170" t="str">
        <f>"14000"</f>
        <v>14000</v>
      </c>
      <c r="I1170" t="str">
        <f>"CAEN"</f>
        <v>CAEN</v>
      </c>
      <c r="J1170" t="str">
        <f>"02 50 85 87 01 "</f>
        <v xml:space="preserve">02 50 85 87 01 </v>
      </c>
      <c r="L1170" s="1">
        <v>43843</v>
      </c>
      <c r="M1170" t="str">
        <f t="shared" si="200"/>
        <v>124</v>
      </c>
      <c r="N1170" t="str">
        <f t="shared" si="201"/>
        <v>Centre de Santé</v>
      </c>
      <c r="O1170" t="str">
        <f>"60"</f>
        <v>60</v>
      </c>
      <c r="P1170" t="str">
        <f>"Association Loi 1901 non Reconnue d'Utilité Publique"</f>
        <v>Association Loi 1901 non Reconnue d'Utilité Publique</v>
      </c>
      <c r="Q1170" t="str">
        <f t="shared" si="202"/>
        <v>36</v>
      </c>
      <c r="R1170" t="str">
        <f t="shared" si="203"/>
        <v>Tarifs conventionnels assurance maladie</v>
      </c>
      <c r="U1170" t="str">
        <f>"140033010"</f>
        <v>140033010</v>
      </c>
    </row>
    <row r="1171" spans="1:21" x14ac:dyDescent="0.3">
      <c r="A1171" t="str">
        <f>"190013383"</f>
        <v>190013383</v>
      </c>
      <c r="B1171" t="str">
        <f>"211 927 207 00566"</f>
        <v>211 927 207 00566</v>
      </c>
      <c r="D1171" t="str">
        <f>"CDS MUNICIPAL DE LA VILLE DE TULLE"</f>
        <v>CDS MUNICIPAL DE LA VILLE DE TULLE</v>
      </c>
      <c r="F1171" t="str">
        <f>"7 RUE LOUISA PAULIN"</f>
        <v>7 RUE LOUISA PAULIN</v>
      </c>
      <c r="H1171" t="str">
        <f>"19000"</f>
        <v>19000</v>
      </c>
      <c r="I1171" t="str">
        <f>"TULLE"</f>
        <v>TULLE</v>
      </c>
      <c r="L1171" s="1">
        <v>43843</v>
      </c>
      <c r="M1171" t="str">
        <f t="shared" si="200"/>
        <v>124</v>
      </c>
      <c r="N1171" t="str">
        <f t="shared" si="201"/>
        <v>Centre de Santé</v>
      </c>
      <c r="O1171" t="str">
        <f>"03"</f>
        <v>03</v>
      </c>
      <c r="P1171" t="str">
        <f>"Commune"</f>
        <v>Commune</v>
      </c>
      <c r="Q1171" t="str">
        <f t="shared" si="202"/>
        <v>36</v>
      </c>
      <c r="R1171" t="str">
        <f t="shared" si="203"/>
        <v>Tarifs conventionnels assurance maladie</v>
      </c>
      <c r="U1171" t="str">
        <f>"190013375"</f>
        <v>190013375</v>
      </c>
    </row>
    <row r="1172" spans="1:21" x14ac:dyDescent="0.3">
      <c r="A1172" t="str">
        <f>"320005499"</f>
        <v>320005499</v>
      </c>
      <c r="B1172" t="str">
        <f>"213 203 706 00014"</f>
        <v>213 203 706 00014</v>
      </c>
      <c r="D1172" t="str">
        <f>"CENTRE COMMUNAL DE SANTE DE SAINT-CLAR"</f>
        <v>CENTRE COMMUNAL DE SANTE DE SAINT-CLAR</v>
      </c>
      <c r="F1172" t="str">
        <f>"2 PLACE DE LA MAIRIE"</f>
        <v>2 PLACE DE LA MAIRIE</v>
      </c>
      <c r="H1172" t="str">
        <f>"32380"</f>
        <v>32380</v>
      </c>
      <c r="I1172" t="str">
        <f>"ST CLAR"</f>
        <v>ST CLAR</v>
      </c>
      <c r="J1172" t="str">
        <f>"05 62 66 40 45 "</f>
        <v xml:space="preserve">05 62 66 40 45 </v>
      </c>
      <c r="L1172" s="1">
        <v>43843</v>
      </c>
      <c r="M1172" t="str">
        <f t="shared" si="200"/>
        <v>124</v>
      </c>
      <c r="N1172" t="str">
        <f t="shared" si="201"/>
        <v>Centre de Santé</v>
      </c>
      <c r="O1172" t="str">
        <f>"03"</f>
        <v>03</v>
      </c>
      <c r="P1172" t="str">
        <f>"Commune"</f>
        <v>Commune</v>
      </c>
      <c r="Q1172" t="str">
        <f t="shared" si="202"/>
        <v>36</v>
      </c>
      <c r="R1172" t="str">
        <f t="shared" si="203"/>
        <v>Tarifs conventionnels assurance maladie</v>
      </c>
      <c r="U1172" t="str">
        <f>"320005481"</f>
        <v>320005481</v>
      </c>
    </row>
    <row r="1173" spans="1:21" x14ac:dyDescent="0.3">
      <c r="A1173" t="str">
        <f>"330060724"</f>
        <v>330060724</v>
      </c>
      <c r="B1173" t="str">
        <f>"775 584 972 00704"</f>
        <v>775 584 972 00704</v>
      </c>
      <c r="D1173" t="str">
        <f>"CDS DE LESPARRE"</f>
        <v>CDS DE LESPARRE</v>
      </c>
      <c r="F1173" t="str">
        <f>"64 RUE ARISTIDE BRIAND"</f>
        <v>64 RUE ARISTIDE BRIAND</v>
      </c>
      <c r="H1173" t="str">
        <f>"33341"</f>
        <v>33341</v>
      </c>
      <c r="I1173" t="str">
        <f>"LESPARRE MEDOC CEDEX"</f>
        <v>LESPARRE MEDOC CEDEX</v>
      </c>
      <c r="L1173" s="1">
        <v>43843</v>
      </c>
      <c r="M1173" t="str">
        <f t="shared" si="200"/>
        <v>124</v>
      </c>
      <c r="N1173" t="str">
        <f t="shared" si="201"/>
        <v>Centre de Santé</v>
      </c>
      <c r="O1173" t="str">
        <f>"47"</f>
        <v>47</v>
      </c>
      <c r="P1173" t="str">
        <f>"Société Mutualiste"</f>
        <v>Société Mutualiste</v>
      </c>
      <c r="Q1173" t="str">
        <f t="shared" si="202"/>
        <v>36</v>
      </c>
      <c r="R1173" t="str">
        <f t="shared" si="203"/>
        <v>Tarifs conventionnels assurance maladie</v>
      </c>
      <c r="U1173" t="str">
        <f>"330796392"</f>
        <v>330796392</v>
      </c>
    </row>
    <row r="1174" spans="1:21" x14ac:dyDescent="0.3">
      <c r="A1174" t="str">
        <f>"750064552"</f>
        <v>750064552</v>
      </c>
      <c r="B1174" t="str">
        <f>"852 715 507 00012"</f>
        <v>852 715 507 00012</v>
      </c>
      <c r="D1174" t="str">
        <f>"CDS MED OPHTALMO DENT DE PLACE CLICHY"</f>
        <v>CDS MED OPHTALMO DENT DE PLACE CLICHY</v>
      </c>
      <c r="F1174" t="str">
        <f>"4 PLACE DE CLICHY"</f>
        <v>4 PLACE DE CLICHY</v>
      </c>
      <c r="H1174" t="str">
        <f>"75009"</f>
        <v>75009</v>
      </c>
      <c r="I1174" t="str">
        <f>"PARIS"</f>
        <v>PARIS</v>
      </c>
      <c r="L1174" s="1">
        <v>43840</v>
      </c>
      <c r="M1174" t="str">
        <f t="shared" si="200"/>
        <v>124</v>
      </c>
      <c r="N1174" t="str">
        <f t="shared" si="201"/>
        <v>Centre de Santé</v>
      </c>
      <c r="O1174" t="str">
        <f>"60"</f>
        <v>60</v>
      </c>
      <c r="P1174" t="str">
        <f>"Association Loi 1901 non Reconnue d'Utilité Publique"</f>
        <v>Association Loi 1901 non Reconnue d'Utilité Publique</v>
      </c>
      <c r="Q1174" t="str">
        <f t="shared" si="202"/>
        <v>36</v>
      </c>
      <c r="R1174" t="str">
        <f t="shared" si="203"/>
        <v>Tarifs conventionnels assurance maladie</v>
      </c>
      <c r="U1174" t="str">
        <f>"750064453"</f>
        <v>750064453</v>
      </c>
    </row>
    <row r="1175" spans="1:21" x14ac:dyDescent="0.3">
      <c r="A1175" t="str">
        <f>"920035946"</f>
        <v>920035946</v>
      </c>
      <c r="B1175" t="str">
        <f>"852 999 259 00017"</f>
        <v>852 999 259 00017</v>
      </c>
      <c r="D1175" t="str">
        <f>"CDS MEDICAL OPHTALMOLOGIE NEUILLY CDG"</f>
        <v>CDS MEDICAL OPHTALMOLOGIE NEUILLY CDG</v>
      </c>
      <c r="F1175" t="str">
        <f>"28 AVENUE CHARLES DE GAULLE"</f>
        <v>28 AVENUE CHARLES DE GAULLE</v>
      </c>
      <c r="H1175" t="str">
        <f>"92200"</f>
        <v>92200</v>
      </c>
      <c r="I1175" t="str">
        <f>"NEUILLY SUR SEINE"</f>
        <v>NEUILLY SUR SEINE</v>
      </c>
      <c r="L1175" s="1">
        <v>43840</v>
      </c>
      <c r="M1175" t="str">
        <f t="shared" si="200"/>
        <v>124</v>
      </c>
      <c r="N1175" t="str">
        <f t="shared" si="201"/>
        <v>Centre de Santé</v>
      </c>
      <c r="O1175" t="str">
        <f>"60"</f>
        <v>60</v>
      </c>
      <c r="P1175" t="str">
        <f>"Association Loi 1901 non Reconnue d'Utilité Publique"</f>
        <v>Association Loi 1901 non Reconnue d'Utilité Publique</v>
      </c>
      <c r="Q1175" t="str">
        <f t="shared" si="202"/>
        <v>36</v>
      </c>
      <c r="R1175" t="str">
        <f t="shared" si="203"/>
        <v>Tarifs conventionnels assurance maladie</v>
      </c>
      <c r="U1175" t="str">
        <f>"920035888"</f>
        <v>920035888</v>
      </c>
    </row>
    <row r="1176" spans="1:21" x14ac:dyDescent="0.3">
      <c r="A1176" t="str">
        <f>"770022903"</f>
        <v>770022903</v>
      </c>
      <c r="D1176" t="str">
        <f>"CDS DU PAYS DE L'OURCQ"</f>
        <v>CDS DU PAYS DE L'OURCQ</v>
      </c>
      <c r="E1176" t="str">
        <f>"PYRAMIDE JEAN DIDIER"</f>
        <v>PYRAMIDE JEAN DIDIER</v>
      </c>
      <c r="F1176" t="str">
        <f>"6 ROUTE DE LA FERTE SOUS JOUARRE"</f>
        <v>6 ROUTE DE LA FERTE SOUS JOUARRE</v>
      </c>
      <c r="H1176" t="str">
        <f>"77440"</f>
        <v>77440</v>
      </c>
      <c r="I1176" t="str">
        <f>"MARY SUR MARNE"</f>
        <v>MARY SUR MARNE</v>
      </c>
      <c r="L1176" s="1">
        <v>43839</v>
      </c>
      <c r="M1176" t="str">
        <f t="shared" si="200"/>
        <v>124</v>
      </c>
      <c r="N1176" t="str">
        <f t="shared" si="201"/>
        <v>Centre de Santé</v>
      </c>
      <c r="O1176" t="str">
        <f>"06"</f>
        <v>06</v>
      </c>
      <c r="P1176" t="str">
        <f>"Autre Collectivité Territoriale"</f>
        <v>Autre Collectivité Territoriale</v>
      </c>
      <c r="Q1176" t="str">
        <f t="shared" si="202"/>
        <v>36</v>
      </c>
      <c r="R1176" t="str">
        <f t="shared" si="203"/>
        <v>Tarifs conventionnels assurance maladie</v>
      </c>
      <c r="U1176" t="str">
        <f>"770022887"</f>
        <v>770022887</v>
      </c>
    </row>
    <row r="1177" spans="1:21" x14ac:dyDescent="0.3">
      <c r="A1177" t="str">
        <f>"160016549"</f>
        <v>160016549</v>
      </c>
      <c r="B1177" t="str">
        <f>"211 603 741 00243"</f>
        <v>211 603 741 00243</v>
      </c>
      <c r="D1177" t="str">
        <f>"CENTRE MEDICAL DE SANTE DE SOYAUX"</f>
        <v>CENTRE MEDICAL DE SANTE DE SOYAUX</v>
      </c>
      <c r="F1177" t="str">
        <f>"1 RUE ROMAIN ROLLAND"</f>
        <v>1 RUE ROMAIN ROLLAND</v>
      </c>
      <c r="H1177" t="str">
        <f>"16800"</f>
        <v>16800</v>
      </c>
      <c r="I1177" t="str">
        <f>"SOYAUX"</f>
        <v>SOYAUX</v>
      </c>
      <c r="J1177" t="str">
        <f>"05 45 94 92 45 "</f>
        <v xml:space="preserve">05 45 94 92 45 </v>
      </c>
      <c r="L1177" s="1">
        <v>43836</v>
      </c>
      <c r="M1177" t="str">
        <f t="shared" si="200"/>
        <v>124</v>
      </c>
      <c r="N1177" t="str">
        <f t="shared" si="201"/>
        <v>Centre de Santé</v>
      </c>
      <c r="O1177" t="str">
        <f>"03"</f>
        <v>03</v>
      </c>
      <c r="P1177" t="str">
        <f>"Commune"</f>
        <v>Commune</v>
      </c>
      <c r="Q1177" t="str">
        <f t="shared" si="202"/>
        <v>36</v>
      </c>
      <c r="R1177" t="str">
        <f t="shared" si="203"/>
        <v>Tarifs conventionnels assurance maladie</v>
      </c>
      <c r="U1177" t="str">
        <f>"160013173"</f>
        <v>160013173</v>
      </c>
    </row>
    <row r="1178" spans="1:21" x14ac:dyDescent="0.3">
      <c r="A1178" t="str">
        <f>"750064537"</f>
        <v>750064537</v>
      </c>
      <c r="B1178" t="str">
        <f>"441 921 913 00014"</f>
        <v>441 921 913 00014</v>
      </c>
      <c r="D1178" t="str">
        <f>"CDS CESOA"</f>
        <v>CDS CESOA</v>
      </c>
      <c r="F1178" t="str">
        <f>"178 RUE VAUGIRARD"</f>
        <v>178 RUE VAUGIRARD</v>
      </c>
      <c r="H1178" t="str">
        <f>"75015"</f>
        <v>75015</v>
      </c>
      <c r="I1178" t="str">
        <f>"PARIS"</f>
        <v>PARIS</v>
      </c>
      <c r="L1178" s="1">
        <v>43836</v>
      </c>
      <c r="M1178" t="str">
        <f t="shared" si="200"/>
        <v>124</v>
      </c>
      <c r="N1178" t="str">
        <f t="shared" si="201"/>
        <v>Centre de Santé</v>
      </c>
      <c r="O1178" t="str">
        <f>"47"</f>
        <v>47</v>
      </c>
      <c r="P1178" t="str">
        <f>"Société Mutualiste"</f>
        <v>Société Mutualiste</v>
      </c>
      <c r="Q1178" t="str">
        <f t="shared" si="202"/>
        <v>36</v>
      </c>
      <c r="R1178" t="str">
        <f t="shared" si="203"/>
        <v>Tarifs conventionnels assurance maladie</v>
      </c>
      <c r="U1178" t="str">
        <f>"750005068"</f>
        <v>750005068</v>
      </c>
    </row>
    <row r="1179" spans="1:21" x14ac:dyDescent="0.3">
      <c r="A1179" t="str">
        <f>"750064941"</f>
        <v>750064941</v>
      </c>
      <c r="B1179" t="str">
        <f>"853 051 910 00018"</f>
        <v>853 051 910 00018</v>
      </c>
      <c r="D1179" t="str">
        <f>"CDS DENTAIRE DENTALPHAN ISLY"</f>
        <v>CDS DENTAIRE DENTALPHAN ISLY</v>
      </c>
      <c r="F1179" t="str">
        <f>"12 RUE DE L'ISLY"</f>
        <v>12 RUE DE L'ISLY</v>
      </c>
      <c r="H1179" t="str">
        <f>"75008"</f>
        <v>75008</v>
      </c>
      <c r="I1179" t="str">
        <f>"PARIS"</f>
        <v>PARIS</v>
      </c>
      <c r="L1179" s="1">
        <v>43836</v>
      </c>
      <c r="M1179" t="str">
        <f t="shared" si="200"/>
        <v>124</v>
      </c>
      <c r="N1179" t="str">
        <f t="shared" si="201"/>
        <v>Centre de Santé</v>
      </c>
      <c r="O1179" t="str">
        <f>"60"</f>
        <v>60</v>
      </c>
      <c r="P1179" t="str">
        <f>"Association Loi 1901 non Reconnue d'Utilité Publique"</f>
        <v>Association Loi 1901 non Reconnue d'Utilité Publique</v>
      </c>
      <c r="Q1179" t="str">
        <f t="shared" si="202"/>
        <v>36</v>
      </c>
      <c r="R1179" t="str">
        <f t="shared" si="203"/>
        <v>Tarifs conventionnels assurance maladie</v>
      </c>
      <c r="U1179" t="str">
        <f>"750064594"</f>
        <v>750064594</v>
      </c>
    </row>
    <row r="1180" spans="1:21" x14ac:dyDescent="0.3">
      <c r="A1180" t="str">
        <f>"930029343"</f>
        <v>930029343</v>
      </c>
      <c r="B1180" t="str">
        <f>"851 498 493 00010"</f>
        <v>851 498 493 00010</v>
      </c>
      <c r="D1180" t="str">
        <f>"CDS DENTAIRE DE MONTREUIL"</f>
        <v>CDS DENTAIRE DE MONTREUIL</v>
      </c>
      <c r="F1180" t="str">
        <f>"111 BOULEVARD DE LA BOISSIERE"</f>
        <v>111 BOULEVARD DE LA BOISSIERE</v>
      </c>
      <c r="H1180" t="str">
        <f>"93100"</f>
        <v>93100</v>
      </c>
      <c r="I1180" t="str">
        <f>"MONTREUIL"</f>
        <v>MONTREUIL</v>
      </c>
      <c r="L1180" s="1">
        <v>43836</v>
      </c>
      <c r="M1180" t="str">
        <f t="shared" si="200"/>
        <v>124</v>
      </c>
      <c r="N1180" t="str">
        <f t="shared" si="201"/>
        <v>Centre de Santé</v>
      </c>
      <c r="O1180" t="str">
        <f>"60"</f>
        <v>60</v>
      </c>
      <c r="P1180" t="str">
        <f>"Association Loi 1901 non Reconnue d'Utilité Publique"</f>
        <v>Association Loi 1901 non Reconnue d'Utilité Publique</v>
      </c>
      <c r="Q1180" t="str">
        <f t="shared" si="202"/>
        <v>36</v>
      </c>
      <c r="R1180" t="str">
        <f t="shared" si="203"/>
        <v>Tarifs conventionnels assurance maladie</v>
      </c>
      <c r="U1180" t="str">
        <f>"930029335"</f>
        <v>930029335</v>
      </c>
    </row>
    <row r="1181" spans="1:21" x14ac:dyDescent="0.3">
      <c r="A1181" t="str">
        <f>"130048267"</f>
        <v>130048267</v>
      </c>
      <c r="D1181" t="str">
        <f>"CDS POLYVALENT NATIONAL"</f>
        <v>CDS POLYVALENT NATIONAL</v>
      </c>
      <c r="F1181" t="str">
        <f>"416 BOULEVARD NATIONAL"</f>
        <v>416 BOULEVARD NATIONAL</v>
      </c>
      <c r="H1181" t="str">
        <f>"13003"</f>
        <v>13003</v>
      </c>
      <c r="I1181" t="str">
        <f>"MARSEILLE"</f>
        <v>MARSEILLE</v>
      </c>
      <c r="J1181" t="str">
        <f>"06 09 16 76 98 "</f>
        <v xml:space="preserve">06 09 16 76 98 </v>
      </c>
      <c r="L1181" s="1">
        <v>43832</v>
      </c>
      <c r="M1181" t="str">
        <f t="shared" si="200"/>
        <v>124</v>
      </c>
      <c r="N1181" t="str">
        <f t="shared" si="201"/>
        <v>Centre de Santé</v>
      </c>
      <c r="O1181" t="str">
        <f>"61"</f>
        <v>61</v>
      </c>
      <c r="P1181" t="str">
        <f>"Association Loi 1901 Reconnue d'Utilité Publique"</f>
        <v>Association Loi 1901 Reconnue d'Utilité Publique</v>
      </c>
      <c r="Q1181" t="str">
        <f t="shared" si="202"/>
        <v>36</v>
      </c>
      <c r="R1181" t="str">
        <f t="shared" si="203"/>
        <v>Tarifs conventionnels assurance maladie</v>
      </c>
      <c r="U1181" t="str">
        <f>"130048259"</f>
        <v>130048259</v>
      </c>
    </row>
    <row r="1182" spans="1:21" x14ac:dyDescent="0.3">
      <c r="A1182" t="str">
        <f>"750064578"</f>
        <v>750064578</v>
      </c>
      <c r="B1182" t="str">
        <f>"854 064 763 00014"</f>
        <v>854 064 763 00014</v>
      </c>
      <c r="D1182" t="str">
        <f>"CDS OPHTALMOLOGIQUE ACCES VISION"</f>
        <v>CDS OPHTALMOLOGIQUE ACCES VISION</v>
      </c>
      <c r="F1182" t="str">
        <f>"11 PLACE DE LA NATION"</f>
        <v>11 PLACE DE LA NATION</v>
      </c>
      <c r="H1182" t="str">
        <f>"75011"</f>
        <v>75011</v>
      </c>
      <c r="I1182" t="str">
        <f>"PARIS"</f>
        <v>PARIS</v>
      </c>
      <c r="L1182" s="1">
        <v>43832</v>
      </c>
      <c r="M1182" t="str">
        <f t="shared" si="200"/>
        <v>124</v>
      </c>
      <c r="N1182" t="str">
        <f t="shared" si="201"/>
        <v>Centre de Santé</v>
      </c>
      <c r="O1182" t="str">
        <f>"60"</f>
        <v>60</v>
      </c>
      <c r="P1182" t="str">
        <f>"Association Loi 1901 non Reconnue d'Utilité Publique"</f>
        <v>Association Loi 1901 non Reconnue d'Utilité Publique</v>
      </c>
      <c r="Q1182" t="str">
        <f t="shared" si="202"/>
        <v>36</v>
      </c>
      <c r="R1182" t="str">
        <f t="shared" si="203"/>
        <v>Tarifs conventionnels assurance maladie</v>
      </c>
      <c r="U1182" t="str">
        <f>"940025901"</f>
        <v>940025901</v>
      </c>
    </row>
    <row r="1183" spans="1:21" x14ac:dyDescent="0.3">
      <c r="A1183" t="str">
        <f>"860015288"</f>
        <v>860015288</v>
      </c>
      <c r="B1183" t="str">
        <f>"775 716 210 00130"</f>
        <v>775 716 210 00130</v>
      </c>
      <c r="D1183" t="str">
        <f>"CDS DENTAIRE CPAM 86"</f>
        <v>CDS DENTAIRE CPAM 86</v>
      </c>
      <c r="F1183" t="str">
        <f>"79 RUE DE SAINT ELOI"</f>
        <v>79 RUE DE SAINT ELOI</v>
      </c>
      <c r="H1183" t="str">
        <f>"86000"</f>
        <v>86000</v>
      </c>
      <c r="I1183" t="str">
        <f>"POITIERS"</f>
        <v>POITIERS</v>
      </c>
      <c r="J1183" t="str">
        <f>"05 49 62 75 70 "</f>
        <v xml:space="preserve">05 49 62 75 70 </v>
      </c>
      <c r="L1183" s="1">
        <v>43832</v>
      </c>
      <c r="M1183" t="str">
        <f t="shared" si="200"/>
        <v>124</v>
      </c>
      <c r="N1183" t="str">
        <f t="shared" si="201"/>
        <v>Centre de Santé</v>
      </c>
      <c r="O1183" t="str">
        <f>"40"</f>
        <v>40</v>
      </c>
      <c r="P1183" t="str">
        <f>"Régime Général de Sécurité Sociale"</f>
        <v>Régime Général de Sécurité Sociale</v>
      </c>
      <c r="Q1183" t="str">
        <f t="shared" si="202"/>
        <v>36</v>
      </c>
      <c r="R1183" t="str">
        <f t="shared" si="203"/>
        <v>Tarifs conventionnels assurance maladie</v>
      </c>
      <c r="U1183" t="str">
        <f>"860785138"</f>
        <v>860785138</v>
      </c>
    </row>
    <row r="1184" spans="1:21" x14ac:dyDescent="0.3">
      <c r="A1184" t="str">
        <f>"920035904"</f>
        <v>920035904</v>
      </c>
      <c r="B1184" t="str">
        <f>"851 105 270 00017"</f>
        <v>851 105 270 00017</v>
      </c>
      <c r="D1184" t="str">
        <f>"CDS CLICHY BATIGNOLLES"</f>
        <v>CDS CLICHY BATIGNOLLES</v>
      </c>
      <c r="F1184" t="str">
        <f>"3 RUE DE PARIS"</f>
        <v>3 RUE DE PARIS</v>
      </c>
      <c r="H1184" t="str">
        <f>"92110"</f>
        <v>92110</v>
      </c>
      <c r="I1184" t="str">
        <f>"CLICHY"</f>
        <v>CLICHY</v>
      </c>
      <c r="J1184" t="str">
        <f>"01 48 50 02 42 "</f>
        <v xml:space="preserve">01 48 50 02 42 </v>
      </c>
      <c r="L1184" s="1">
        <v>43832</v>
      </c>
      <c r="M1184" t="str">
        <f t="shared" si="200"/>
        <v>124</v>
      </c>
      <c r="N1184" t="str">
        <f t="shared" si="201"/>
        <v>Centre de Santé</v>
      </c>
      <c r="O1184" t="str">
        <f>"60"</f>
        <v>60</v>
      </c>
      <c r="P1184" t="str">
        <f>"Association Loi 1901 non Reconnue d'Utilité Publique"</f>
        <v>Association Loi 1901 non Reconnue d'Utilité Publique</v>
      </c>
      <c r="Q1184" t="str">
        <f t="shared" si="202"/>
        <v>36</v>
      </c>
      <c r="R1184" t="str">
        <f t="shared" si="203"/>
        <v>Tarifs conventionnels assurance maladie</v>
      </c>
      <c r="U1184" t="str">
        <f>"920035862"</f>
        <v>920035862</v>
      </c>
    </row>
    <row r="1185" spans="1:21" x14ac:dyDescent="0.3">
      <c r="A1185" t="str">
        <f>"920035995"</f>
        <v>920035995</v>
      </c>
      <c r="B1185" t="str">
        <f>"842 220 782 00010"</f>
        <v>842 220 782 00010</v>
      </c>
      <c r="D1185" t="str">
        <f>"CDS DENTAIRE LES GRESILLONS"</f>
        <v>CDS DENTAIRE LES GRESILLONS</v>
      </c>
      <c r="F1185" t="str">
        <f>"30 RUE OLYMPE DE GOUGE"</f>
        <v>30 RUE OLYMPE DE GOUGE</v>
      </c>
      <c r="H1185" t="str">
        <f>"92600"</f>
        <v>92600</v>
      </c>
      <c r="I1185" t="str">
        <f>"ASNIERES SUR SEINE"</f>
        <v>ASNIERES SUR SEINE</v>
      </c>
      <c r="L1185" s="1">
        <v>43832</v>
      </c>
      <c r="M1185" t="str">
        <f t="shared" si="200"/>
        <v>124</v>
      </c>
      <c r="N1185" t="str">
        <f t="shared" si="201"/>
        <v>Centre de Santé</v>
      </c>
      <c r="O1185" t="str">
        <f>"60"</f>
        <v>60</v>
      </c>
      <c r="P1185" t="str">
        <f>"Association Loi 1901 non Reconnue d'Utilité Publique"</f>
        <v>Association Loi 1901 non Reconnue d'Utilité Publique</v>
      </c>
      <c r="Q1185" t="str">
        <f t="shared" si="202"/>
        <v>36</v>
      </c>
      <c r="R1185" t="str">
        <f t="shared" si="203"/>
        <v>Tarifs conventionnels assurance maladie</v>
      </c>
      <c r="U1185" t="str">
        <f>"920035870"</f>
        <v>920035870</v>
      </c>
    </row>
    <row r="1186" spans="1:21" x14ac:dyDescent="0.3">
      <c r="A1186" t="str">
        <f>"920036175"</f>
        <v>920036175</v>
      </c>
      <c r="B1186" t="str">
        <f>"852 885 920 00011"</f>
        <v>852 885 920 00011</v>
      </c>
      <c r="D1186" t="str">
        <f>"CDS DENTAIRE DENTOLIB LEVALLOIS"</f>
        <v>CDS DENTAIRE DENTOLIB LEVALLOIS</v>
      </c>
      <c r="F1186" t="str">
        <f>"96 RUE LOUIS ROUQUIER"</f>
        <v>96 RUE LOUIS ROUQUIER</v>
      </c>
      <c r="H1186" t="str">
        <f>"92300"</f>
        <v>92300</v>
      </c>
      <c r="I1186" t="str">
        <f>"LEVALLOIS PERRET"</f>
        <v>LEVALLOIS PERRET</v>
      </c>
      <c r="L1186" s="1">
        <v>43832</v>
      </c>
      <c r="M1186" t="str">
        <f t="shared" si="200"/>
        <v>124</v>
      </c>
      <c r="N1186" t="str">
        <f t="shared" si="201"/>
        <v>Centre de Santé</v>
      </c>
      <c r="O1186" t="str">
        <f>"60"</f>
        <v>60</v>
      </c>
      <c r="P1186" t="str">
        <f>"Association Loi 1901 non Reconnue d'Utilité Publique"</f>
        <v>Association Loi 1901 non Reconnue d'Utilité Publique</v>
      </c>
      <c r="Q1186" t="str">
        <f t="shared" si="202"/>
        <v>36</v>
      </c>
      <c r="R1186" t="str">
        <f t="shared" si="203"/>
        <v>Tarifs conventionnels assurance maladie</v>
      </c>
      <c r="U1186" t="str">
        <f>"920036068"</f>
        <v>920036068</v>
      </c>
    </row>
    <row r="1187" spans="1:21" x14ac:dyDescent="0.3">
      <c r="A1187" t="str">
        <f>"950044750"</f>
        <v>950044750</v>
      </c>
      <c r="B1187" t="str">
        <f>"852 505 676 00019"</f>
        <v>852 505 676 00019</v>
      </c>
      <c r="D1187" t="str">
        <f>"CDS ESPACE MEDICO-DENTAIRE HERBLAY"</f>
        <v>CDS ESPACE MEDICO-DENTAIRE HERBLAY</v>
      </c>
      <c r="E1187" t="str">
        <f>"CENTRE COMMERCIAL LES CHENES"</f>
        <v>CENTRE COMMERCIAL LES CHENES</v>
      </c>
      <c r="F1187" t="str">
        <f>"135 RUE CONFLANS"</f>
        <v>135 RUE CONFLANS</v>
      </c>
      <c r="H1187" t="str">
        <f>"95220"</f>
        <v>95220</v>
      </c>
      <c r="I1187" t="str">
        <f>"HERBLAY SUR SEINE"</f>
        <v>HERBLAY SUR SEINE</v>
      </c>
      <c r="L1187" s="1">
        <v>43832</v>
      </c>
      <c r="M1187" t="str">
        <f t="shared" si="200"/>
        <v>124</v>
      </c>
      <c r="N1187" t="str">
        <f t="shared" si="201"/>
        <v>Centre de Santé</v>
      </c>
      <c r="O1187" t="str">
        <f>"60"</f>
        <v>60</v>
      </c>
      <c r="P1187" t="str">
        <f>"Association Loi 1901 non Reconnue d'Utilité Publique"</f>
        <v>Association Loi 1901 non Reconnue d'Utilité Publique</v>
      </c>
      <c r="Q1187" t="str">
        <f t="shared" si="202"/>
        <v>36</v>
      </c>
      <c r="R1187" t="str">
        <f t="shared" si="203"/>
        <v>Tarifs conventionnels assurance maladie</v>
      </c>
      <c r="U1187" t="str">
        <f>"950044743"</f>
        <v>950044743</v>
      </c>
    </row>
    <row r="1188" spans="1:21" x14ac:dyDescent="0.3">
      <c r="A1188" t="str">
        <f>"160016648"</f>
        <v>160016648</v>
      </c>
      <c r="B1188" t="str">
        <f>"261 600 225 00096"</f>
        <v>261 600 225 00096</v>
      </c>
      <c r="D1188" t="str">
        <f>"CDS DE CHARENTE LIMOUSINE"</f>
        <v>CDS DE CHARENTE LIMOUSINE</v>
      </c>
      <c r="F1188" t="str">
        <f>"RUE MARCEL PERROT"</f>
        <v>RUE MARCEL PERROT</v>
      </c>
      <c r="G1188" t="str">
        <f>"BP 50083"</f>
        <v>BP 50083</v>
      </c>
      <c r="H1188" t="str">
        <f>"16500"</f>
        <v>16500</v>
      </c>
      <c r="I1188" t="str">
        <f>"CONFOLENS"</f>
        <v>CONFOLENS</v>
      </c>
      <c r="J1188" t="str">
        <f>"05 45 84 40 28 "</f>
        <v xml:space="preserve">05 45 84 40 28 </v>
      </c>
      <c r="L1188" s="1">
        <v>43831</v>
      </c>
      <c r="M1188" t="str">
        <f t="shared" si="200"/>
        <v>124</v>
      </c>
      <c r="N1188" t="str">
        <f t="shared" si="201"/>
        <v>Centre de Santé</v>
      </c>
      <c r="O1188" t="str">
        <f>"13"</f>
        <v>13</v>
      </c>
      <c r="P1188" t="str">
        <f>"Etablissement Public Communal d'Hospitalisation"</f>
        <v>Etablissement Public Communal d'Hospitalisation</v>
      </c>
      <c r="Q1188" t="str">
        <f t="shared" si="202"/>
        <v>36</v>
      </c>
      <c r="R1188" t="str">
        <f t="shared" si="203"/>
        <v>Tarifs conventionnels assurance maladie</v>
      </c>
      <c r="U1188" t="str">
        <f>"160000485"</f>
        <v>160000485</v>
      </c>
    </row>
    <row r="1189" spans="1:21" x14ac:dyDescent="0.3">
      <c r="A1189" t="str">
        <f>"310031711"</f>
        <v>310031711</v>
      </c>
      <c r="D1189" t="str">
        <f>"CENTRE DE SANTE DES MINIMES"</f>
        <v>CENTRE DE SANTE DES MINIMES</v>
      </c>
      <c r="F1189" t="str">
        <f>"102 BOULEVARD PIERRE ET MARIE CURIE"</f>
        <v>102 BOULEVARD PIERRE ET MARIE CURIE</v>
      </c>
      <c r="H1189" t="str">
        <f>"31200"</f>
        <v>31200</v>
      </c>
      <c r="I1189" t="str">
        <f>"TOULOUSE"</f>
        <v>TOULOUSE</v>
      </c>
      <c r="J1189" t="str">
        <f>"05 82 08 41 01 "</f>
        <v xml:space="preserve">05 82 08 41 01 </v>
      </c>
      <c r="L1189" s="1">
        <v>43831</v>
      </c>
      <c r="M1189" t="str">
        <f t="shared" si="200"/>
        <v>124</v>
      </c>
      <c r="N1189" t="str">
        <f t="shared" si="201"/>
        <v>Centre de Santé</v>
      </c>
      <c r="O1189" t="str">
        <f>"95"</f>
        <v>95</v>
      </c>
      <c r="P1189" t="str">
        <f>"Société par Actions Simplifiée (S.A.S.)"</f>
        <v>Société par Actions Simplifiée (S.A.S.)</v>
      </c>
      <c r="Q1189" t="str">
        <f t="shared" si="202"/>
        <v>36</v>
      </c>
      <c r="R1189" t="str">
        <f t="shared" si="203"/>
        <v>Tarifs conventionnels assurance maladie</v>
      </c>
      <c r="U1189" t="str">
        <f>"310021563"</f>
        <v>310021563</v>
      </c>
    </row>
    <row r="1190" spans="1:21" x14ac:dyDescent="0.3">
      <c r="A1190" t="str">
        <f>"330060898"</f>
        <v>330060898</v>
      </c>
      <c r="B1190" t="str">
        <f>"334 793 346 00043"</f>
        <v>334 793 346 00043</v>
      </c>
      <c r="D1190" t="str">
        <f>"CDS POLYVALENT DE BEAUDESERT"</f>
        <v>CDS POLYVALENT DE BEAUDESERT</v>
      </c>
      <c r="F1190" t="str">
        <f>"8 RUE PIERRE GEORGES LATECOERE"</f>
        <v>8 RUE PIERRE GEORGES LATECOERE</v>
      </c>
      <c r="H1190" t="str">
        <f>"33700"</f>
        <v>33700</v>
      </c>
      <c r="I1190" t="str">
        <f>"MERIGNAC"</f>
        <v>MERIGNAC</v>
      </c>
      <c r="J1190" t="str">
        <f>"05 56 55 04 38 "</f>
        <v xml:space="preserve">05 56 55 04 38 </v>
      </c>
      <c r="K1190" t="str">
        <f>"05 56 97 93 69"</f>
        <v>05 56 97 93 69</v>
      </c>
      <c r="L1190" s="1">
        <v>43831</v>
      </c>
      <c r="M1190" t="str">
        <f t="shared" si="200"/>
        <v>124</v>
      </c>
      <c r="N1190" t="str">
        <f t="shared" si="201"/>
        <v>Centre de Santé</v>
      </c>
      <c r="O1190" t="str">
        <f>"60"</f>
        <v>60</v>
      </c>
      <c r="P1190" t="str">
        <f>"Association Loi 1901 non Reconnue d'Utilité Publique"</f>
        <v>Association Loi 1901 non Reconnue d'Utilité Publique</v>
      </c>
      <c r="Q1190" t="str">
        <f t="shared" si="202"/>
        <v>36</v>
      </c>
      <c r="R1190" t="str">
        <f t="shared" si="203"/>
        <v>Tarifs conventionnels assurance maladie</v>
      </c>
      <c r="U1190" t="str">
        <f>"330054941"</f>
        <v>330054941</v>
      </c>
    </row>
    <row r="1191" spans="1:21" x14ac:dyDescent="0.3">
      <c r="A1191" t="str">
        <f>"690046271"</f>
        <v>690046271</v>
      </c>
      <c r="B1191" t="str">
        <f>"825 372 063 00040"</f>
        <v>825 372 063 00040</v>
      </c>
      <c r="D1191" t="str">
        <f>"CENTRE DE SANTE DENTAIRE DU BEAUJOLAIS"</f>
        <v>CENTRE DE SANTE DENTAIRE DU BEAUJOLAIS</v>
      </c>
      <c r="F1191" t="str">
        <f>"5 ALLEE DE L'ALAMBIC"</f>
        <v>5 ALLEE DE L'ALAMBIC</v>
      </c>
      <c r="H1191" t="str">
        <f>"69400"</f>
        <v>69400</v>
      </c>
      <c r="I1191" t="str">
        <f>"GLEIZE"</f>
        <v>GLEIZE</v>
      </c>
      <c r="L1191" s="1">
        <v>43831</v>
      </c>
      <c r="M1191" t="str">
        <f t="shared" si="200"/>
        <v>124</v>
      </c>
      <c r="N1191" t="str">
        <f t="shared" si="201"/>
        <v>Centre de Santé</v>
      </c>
      <c r="O1191" t="str">
        <f>"60"</f>
        <v>60</v>
      </c>
      <c r="P1191" t="str">
        <f>"Association Loi 1901 non Reconnue d'Utilité Publique"</f>
        <v>Association Loi 1901 non Reconnue d'Utilité Publique</v>
      </c>
      <c r="Q1191" t="str">
        <f t="shared" si="202"/>
        <v>36</v>
      </c>
      <c r="R1191" t="str">
        <f t="shared" si="203"/>
        <v>Tarifs conventionnels assurance maladie</v>
      </c>
      <c r="U1191" t="str">
        <f>"420016560"</f>
        <v>420016560</v>
      </c>
    </row>
    <row r="1192" spans="1:21" x14ac:dyDescent="0.3">
      <c r="A1192" t="str">
        <f>"690046289"</f>
        <v>690046289</v>
      </c>
      <c r="B1192" t="str">
        <f>"810 995 852 00144"</f>
        <v>810 995 852 00144</v>
      </c>
      <c r="D1192" t="str">
        <f>"CENTRE DE SANTE DENTASMILE LYON 8"</f>
        <v>CENTRE DE SANTE DENTASMILE LYON 8</v>
      </c>
      <c r="F1192" t="str">
        <f>"188 AVENUE DES FRERES LUMIERE"</f>
        <v>188 AVENUE DES FRERES LUMIERE</v>
      </c>
      <c r="H1192" t="str">
        <f>"69008"</f>
        <v>69008</v>
      </c>
      <c r="I1192" t="str">
        <f>"LYON"</f>
        <v>LYON</v>
      </c>
      <c r="J1192" t="str">
        <f>"01 47 70 02 50 "</f>
        <v xml:space="preserve">01 47 70 02 50 </v>
      </c>
      <c r="L1192" s="1">
        <v>43831</v>
      </c>
      <c r="M1192" t="str">
        <f t="shared" si="200"/>
        <v>124</v>
      </c>
      <c r="N1192" t="str">
        <f t="shared" si="201"/>
        <v>Centre de Santé</v>
      </c>
      <c r="O1192" t="str">
        <f>"60"</f>
        <v>60</v>
      </c>
      <c r="P1192" t="str">
        <f>"Association Loi 1901 non Reconnue d'Utilité Publique"</f>
        <v>Association Loi 1901 non Reconnue d'Utilité Publique</v>
      </c>
      <c r="Q1192" t="str">
        <f t="shared" si="202"/>
        <v>36</v>
      </c>
      <c r="R1192" t="str">
        <f t="shared" si="203"/>
        <v>Tarifs conventionnels assurance maladie</v>
      </c>
      <c r="U1192" t="str">
        <f>"750057440"</f>
        <v>750057440</v>
      </c>
    </row>
    <row r="1193" spans="1:21" x14ac:dyDescent="0.3">
      <c r="A1193" t="str">
        <f>"690046305"</f>
        <v>690046305</v>
      </c>
      <c r="B1193" t="str">
        <f>"841 473 911 00011"</f>
        <v>841 473 911 00011</v>
      </c>
      <c r="D1193" t="str">
        <f>"CENTRE DE SANTE ACESO DE GIVORS"</f>
        <v>CENTRE DE SANTE ACESO DE GIVORS</v>
      </c>
      <c r="F1193" t="str">
        <f>"64 RUE JACQUES PREVERT"</f>
        <v>64 RUE JACQUES PREVERT</v>
      </c>
      <c r="H1193" t="str">
        <f>"69700"</f>
        <v>69700</v>
      </c>
      <c r="I1193" t="str">
        <f>"GIVORS"</f>
        <v>GIVORS</v>
      </c>
      <c r="J1193" t="str">
        <f>"06 73 92 07 31 "</f>
        <v xml:space="preserve">06 73 92 07 31 </v>
      </c>
      <c r="L1193" s="1">
        <v>43831</v>
      </c>
      <c r="M1193" t="str">
        <f t="shared" si="200"/>
        <v>124</v>
      </c>
      <c r="N1193" t="str">
        <f t="shared" si="201"/>
        <v>Centre de Santé</v>
      </c>
      <c r="O1193" t="str">
        <f>"60"</f>
        <v>60</v>
      </c>
      <c r="P1193" t="str">
        <f>"Association Loi 1901 non Reconnue d'Utilité Publique"</f>
        <v>Association Loi 1901 non Reconnue d'Utilité Publique</v>
      </c>
      <c r="Q1193" t="str">
        <f t="shared" si="202"/>
        <v>36</v>
      </c>
      <c r="R1193" t="str">
        <f t="shared" si="203"/>
        <v>Tarifs conventionnels assurance maladie</v>
      </c>
      <c r="U1193" t="str">
        <f>"690046297"</f>
        <v>690046297</v>
      </c>
    </row>
    <row r="1194" spans="1:21" x14ac:dyDescent="0.3">
      <c r="A1194" t="str">
        <f>"850028093"</f>
        <v>850028093</v>
      </c>
      <c r="B1194" t="str">
        <f>"228 500 013 00872"</f>
        <v>228 500 013 00872</v>
      </c>
      <c r="D1194" t="str">
        <f>"CENTRE DE SANTE DE SAINTE-HERMINE"</f>
        <v>CENTRE DE SANTE DE SAINTE-HERMINE</v>
      </c>
      <c r="E1194" t="str">
        <f>"MAISON DE SANTE INTERCOMMUNALE"</f>
        <v>MAISON DE SANTE INTERCOMMUNALE</v>
      </c>
      <c r="F1194" t="str">
        <f>"200 ROUTE DE NANTES"</f>
        <v>200 ROUTE DE NANTES</v>
      </c>
      <c r="H1194" t="str">
        <f>"85210"</f>
        <v>85210</v>
      </c>
      <c r="I1194" t="str">
        <f>"STE HERMINE"</f>
        <v>STE HERMINE</v>
      </c>
      <c r="L1194" s="1">
        <v>43831</v>
      </c>
      <c r="M1194" t="str">
        <f t="shared" si="200"/>
        <v>124</v>
      </c>
      <c r="N1194" t="str">
        <f t="shared" si="201"/>
        <v>Centre de Santé</v>
      </c>
      <c r="O1194" t="str">
        <f>"02"</f>
        <v>02</v>
      </c>
      <c r="P1194" t="str">
        <f>"Département"</f>
        <v>Département</v>
      </c>
      <c r="Q1194" t="str">
        <f t="shared" si="202"/>
        <v>36</v>
      </c>
      <c r="R1194" t="str">
        <f t="shared" si="203"/>
        <v>Tarifs conventionnels assurance maladie</v>
      </c>
      <c r="U1194" t="str">
        <f>"850018581"</f>
        <v>850018581</v>
      </c>
    </row>
    <row r="1195" spans="1:21" x14ac:dyDescent="0.3">
      <c r="A1195" t="str">
        <f>"930029095"</f>
        <v>930029095</v>
      </c>
      <c r="B1195" t="str">
        <f>"824 330 286 00025"</f>
        <v>824 330 286 00025</v>
      </c>
      <c r="D1195" t="str">
        <f>"CDS DENTAIRE ASCDM BLANC MESNIL"</f>
        <v>CDS DENTAIRE ASCDM BLANC MESNIL</v>
      </c>
      <c r="E1195" t="str">
        <f>"CENTRE COMMERCIAL PLEIN AIR"</f>
        <v>CENTRE COMMERCIAL PLEIN AIR</v>
      </c>
      <c r="F1195" t="str">
        <f>"192 AVENUE CHARLES FLOQUET"</f>
        <v>192 AVENUE CHARLES FLOQUET</v>
      </c>
      <c r="H1195" t="str">
        <f>"93150"</f>
        <v>93150</v>
      </c>
      <c r="I1195" t="str">
        <f>"LE BLANC MESNIL"</f>
        <v>LE BLANC MESNIL</v>
      </c>
      <c r="L1195" s="1">
        <v>43831</v>
      </c>
      <c r="M1195" t="str">
        <f t="shared" si="200"/>
        <v>124</v>
      </c>
      <c r="N1195" t="str">
        <f t="shared" si="201"/>
        <v>Centre de Santé</v>
      </c>
      <c r="O1195" t="str">
        <f>"60"</f>
        <v>60</v>
      </c>
      <c r="P1195" t="str">
        <f>"Association Loi 1901 non Reconnue d'Utilité Publique"</f>
        <v>Association Loi 1901 non Reconnue d'Utilité Publique</v>
      </c>
      <c r="Q1195" t="str">
        <f t="shared" si="202"/>
        <v>36</v>
      </c>
      <c r="R1195" t="str">
        <f t="shared" si="203"/>
        <v>Tarifs conventionnels assurance maladie</v>
      </c>
      <c r="U1195" t="str">
        <f>"910023019"</f>
        <v>910023019</v>
      </c>
    </row>
    <row r="1196" spans="1:21" x14ac:dyDescent="0.3">
      <c r="A1196" t="str">
        <f>"930029442"</f>
        <v>930029442</v>
      </c>
      <c r="D1196" t="str">
        <f>"CDS MEDICO-DENTAIRE MONTREUIL ROUGET"</f>
        <v>CDS MEDICO-DENTAIRE MONTREUIL ROUGET</v>
      </c>
      <c r="F1196" t="str">
        <f>"43 BOULEVARD ROUGET DE LISLE"</f>
        <v>43 BOULEVARD ROUGET DE LISLE</v>
      </c>
      <c r="H1196" t="str">
        <f>"93100"</f>
        <v>93100</v>
      </c>
      <c r="I1196" t="str">
        <f>"MONTREUIL"</f>
        <v>MONTREUIL</v>
      </c>
      <c r="L1196" s="1">
        <v>43830</v>
      </c>
      <c r="M1196" t="str">
        <f t="shared" si="200"/>
        <v>124</v>
      </c>
      <c r="N1196" t="str">
        <f t="shared" si="201"/>
        <v>Centre de Santé</v>
      </c>
      <c r="O1196" t="str">
        <f>"60"</f>
        <v>60</v>
      </c>
      <c r="P1196" t="str">
        <f>"Association Loi 1901 non Reconnue d'Utilité Publique"</f>
        <v>Association Loi 1901 non Reconnue d'Utilité Publique</v>
      </c>
      <c r="Q1196" t="str">
        <f t="shared" si="202"/>
        <v>36</v>
      </c>
      <c r="R1196" t="str">
        <f t="shared" si="203"/>
        <v>Tarifs conventionnels assurance maladie</v>
      </c>
      <c r="U1196" t="str">
        <f>"750050577"</f>
        <v>750050577</v>
      </c>
    </row>
    <row r="1197" spans="1:21" x14ac:dyDescent="0.3">
      <c r="A1197" t="str">
        <f>"930029434"</f>
        <v>930029434</v>
      </c>
      <c r="D1197" t="str">
        <f>"CMS SAVATTERO"</f>
        <v>CMS SAVATTERO</v>
      </c>
      <c r="F1197" t="str">
        <f>"1 PLACE AIME CESAIRE"</f>
        <v>1 PLACE AIME CESAIRE</v>
      </c>
      <c r="H1197" t="str">
        <f>"93100"</f>
        <v>93100</v>
      </c>
      <c r="I1197" t="str">
        <f>"MONTREUIL"</f>
        <v>MONTREUIL</v>
      </c>
      <c r="J1197" t="str">
        <f>"01 71 89 25 93 "</f>
        <v xml:space="preserve">01 71 89 25 93 </v>
      </c>
      <c r="L1197" s="1">
        <v>43829</v>
      </c>
      <c r="M1197" t="str">
        <f t="shared" si="200"/>
        <v>124</v>
      </c>
      <c r="N1197" t="str">
        <f t="shared" si="201"/>
        <v>Centre de Santé</v>
      </c>
      <c r="O1197" t="str">
        <f>"03"</f>
        <v>03</v>
      </c>
      <c r="P1197" t="str">
        <f>"Commune"</f>
        <v>Commune</v>
      </c>
      <c r="Q1197" t="str">
        <f t="shared" ref="Q1197:Q1216" si="204">"36"</f>
        <v>36</v>
      </c>
      <c r="R1197" t="str">
        <f t="shared" ref="R1197:R1216" si="205">"Tarifs conventionnels assurance maladie"</f>
        <v>Tarifs conventionnels assurance maladie</v>
      </c>
      <c r="U1197" t="str">
        <f>"930813050"</f>
        <v>930813050</v>
      </c>
    </row>
    <row r="1198" spans="1:21" x14ac:dyDescent="0.3">
      <c r="A1198" t="str">
        <f>"750064917"</f>
        <v>750064917</v>
      </c>
      <c r="B1198" t="str">
        <f>"851 713 842 00017"</f>
        <v>851 713 842 00017</v>
      </c>
      <c r="D1198" t="str">
        <f>"CDS MEDICO-DENTAIRE ORTHADENT VOLTAIRE"</f>
        <v>CDS MEDICO-DENTAIRE ORTHADENT VOLTAIRE</v>
      </c>
      <c r="F1198" t="str">
        <f>"122 BOULEVARD VOLTAIRE"</f>
        <v>122 BOULEVARD VOLTAIRE</v>
      </c>
      <c r="H1198" t="str">
        <f>"75011"</f>
        <v>75011</v>
      </c>
      <c r="I1198" t="str">
        <f>"PARIS"</f>
        <v>PARIS</v>
      </c>
      <c r="L1198" s="1">
        <v>43825</v>
      </c>
      <c r="M1198" t="str">
        <f t="shared" si="200"/>
        <v>124</v>
      </c>
      <c r="N1198" t="str">
        <f t="shared" si="201"/>
        <v>Centre de Santé</v>
      </c>
      <c r="O1198" t="str">
        <f t="shared" ref="O1198:O1204" si="206">"60"</f>
        <v>60</v>
      </c>
      <c r="P1198" t="str">
        <f t="shared" ref="P1198:P1204" si="207">"Association Loi 1901 non Reconnue d'Utilité Publique"</f>
        <v>Association Loi 1901 non Reconnue d'Utilité Publique</v>
      </c>
      <c r="Q1198" t="str">
        <f t="shared" si="204"/>
        <v>36</v>
      </c>
      <c r="R1198" t="str">
        <f t="shared" si="205"/>
        <v>Tarifs conventionnels assurance maladie</v>
      </c>
      <c r="U1198" t="str">
        <f>"750064636"</f>
        <v>750064636</v>
      </c>
    </row>
    <row r="1199" spans="1:21" x14ac:dyDescent="0.3">
      <c r="A1199" t="str">
        <f>"290037589"</f>
        <v>290037589</v>
      </c>
      <c r="B1199" t="str">
        <f>"878 024 595 00018"</f>
        <v>878 024 595 00018</v>
      </c>
      <c r="D1199" t="str">
        <f>"CENTRE DE SANTE DE BREST"</f>
        <v>CENTRE DE SANTE DE BREST</v>
      </c>
      <c r="F1199" t="str">
        <f>"7 RUE VICTOR HUGO"</f>
        <v>7 RUE VICTOR HUGO</v>
      </c>
      <c r="H1199" t="str">
        <f>"29200"</f>
        <v>29200</v>
      </c>
      <c r="I1199" t="str">
        <f>"BREST"</f>
        <v>BREST</v>
      </c>
      <c r="J1199" t="str">
        <f>"01 42 00 20 20 "</f>
        <v xml:space="preserve">01 42 00 20 20 </v>
      </c>
      <c r="L1199" s="1">
        <v>43815</v>
      </c>
      <c r="M1199" t="str">
        <f t="shared" si="200"/>
        <v>124</v>
      </c>
      <c r="N1199" t="str">
        <f t="shared" si="201"/>
        <v>Centre de Santé</v>
      </c>
      <c r="O1199" t="str">
        <f t="shared" si="206"/>
        <v>60</v>
      </c>
      <c r="P1199" t="str">
        <f t="shared" si="207"/>
        <v>Association Loi 1901 non Reconnue d'Utilité Publique</v>
      </c>
      <c r="Q1199" t="str">
        <f t="shared" si="204"/>
        <v>36</v>
      </c>
      <c r="R1199" t="str">
        <f t="shared" si="205"/>
        <v>Tarifs conventionnels assurance maladie</v>
      </c>
      <c r="U1199" t="str">
        <f>"290037571"</f>
        <v>290037571</v>
      </c>
    </row>
    <row r="1200" spans="1:21" x14ac:dyDescent="0.3">
      <c r="A1200" t="str">
        <f>"340026962"</f>
        <v>340026962</v>
      </c>
      <c r="B1200" t="str">
        <f>"849 269 063 00012"</f>
        <v>849 269 063 00012</v>
      </c>
      <c r="D1200" t="str">
        <f>"CENTRE DENTAIRE DENTISOIN"</f>
        <v>CENTRE DENTAIRE DENTISOIN</v>
      </c>
      <c r="F1200" t="str">
        <f>"392 BOULEVARD PEDRO DE LUNA"</f>
        <v>392 BOULEVARD PEDRO DE LUNA</v>
      </c>
      <c r="H1200" t="str">
        <f>"34070"</f>
        <v>34070</v>
      </c>
      <c r="I1200" t="str">
        <f>"MONTPELLIER"</f>
        <v>MONTPELLIER</v>
      </c>
      <c r="L1200" s="1">
        <v>43815</v>
      </c>
      <c r="M1200" t="str">
        <f t="shared" si="200"/>
        <v>124</v>
      </c>
      <c r="N1200" t="str">
        <f t="shared" si="201"/>
        <v>Centre de Santé</v>
      </c>
      <c r="O1200" t="str">
        <f t="shared" si="206"/>
        <v>60</v>
      </c>
      <c r="P1200" t="str">
        <f t="shared" si="207"/>
        <v>Association Loi 1901 non Reconnue d'Utilité Publique</v>
      </c>
      <c r="Q1200" t="str">
        <f t="shared" si="204"/>
        <v>36</v>
      </c>
      <c r="R1200" t="str">
        <f t="shared" si="205"/>
        <v>Tarifs conventionnels assurance maladie</v>
      </c>
      <c r="U1200" t="str">
        <f>"340026954"</f>
        <v>340026954</v>
      </c>
    </row>
    <row r="1201" spans="1:21" x14ac:dyDescent="0.3">
      <c r="A1201" t="str">
        <f>"560029902"</f>
        <v>560029902</v>
      </c>
      <c r="D1201" t="str">
        <f>"CDS INF DE L'ILE D'HOEDIC"</f>
        <v>CDS INF DE L'ILE D'HOEDIC</v>
      </c>
      <c r="F1201" t="str">
        <f>"LE BOURG"</f>
        <v>LE BOURG</v>
      </c>
      <c r="H1201" t="str">
        <f>"56170"</f>
        <v>56170</v>
      </c>
      <c r="I1201" t="str">
        <f>"ILE DE HOEDIC"</f>
        <v>ILE DE HOEDIC</v>
      </c>
      <c r="J1201" t="str">
        <f>"02 97 57 44 45 "</f>
        <v xml:space="preserve">02 97 57 44 45 </v>
      </c>
      <c r="L1201" s="1">
        <v>43815</v>
      </c>
      <c r="M1201" t="str">
        <f t="shared" si="200"/>
        <v>124</v>
      </c>
      <c r="N1201" t="str">
        <f t="shared" si="201"/>
        <v>Centre de Santé</v>
      </c>
      <c r="O1201" t="str">
        <f t="shared" si="206"/>
        <v>60</v>
      </c>
      <c r="P1201" t="str">
        <f t="shared" si="207"/>
        <v>Association Loi 1901 non Reconnue d'Utilité Publique</v>
      </c>
      <c r="Q1201" t="str">
        <f t="shared" si="204"/>
        <v>36</v>
      </c>
      <c r="R1201" t="str">
        <f t="shared" si="205"/>
        <v>Tarifs conventionnels assurance maladie</v>
      </c>
      <c r="U1201" t="str">
        <f>"560029894"</f>
        <v>560029894</v>
      </c>
    </row>
    <row r="1202" spans="1:21" x14ac:dyDescent="0.3">
      <c r="A1202" t="str">
        <f>"770023182"</f>
        <v>770023182</v>
      </c>
      <c r="B1202" t="str">
        <f>"853 071 645 00016"</f>
        <v>853 071 645 00016</v>
      </c>
      <c r="D1202" t="str">
        <f>"CDS OPHTALMOLOGIQUE DE MEAUX"</f>
        <v>CDS OPHTALMOLOGIQUE DE MEAUX</v>
      </c>
      <c r="F1202" t="str">
        <f>"12 RUE WINSTON CHURCHILL"</f>
        <v>12 RUE WINSTON CHURCHILL</v>
      </c>
      <c r="H1202" t="str">
        <f>"77100"</f>
        <v>77100</v>
      </c>
      <c r="I1202" t="str">
        <f>"MEAUX"</f>
        <v>MEAUX</v>
      </c>
      <c r="L1202" s="1">
        <v>43815</v>
      </c>
      <c r="M1202" t="str">
        <f t="shared" si="200"/>
        <v>124</v>
      </c>
      <c r="N1202" t="str">
        <f t="shared" si="201"/>
        <v>Centre de Santé</v>
      </c>
      <c r="O1202" t="str">
        <f t="shared" si="206"/>
        <v>60</v>
      </c>
      <c r="P1202" t="str">
        <f t="shared" si="207"/>
        <v>Association Loi 1901 non Reconnue d'Utilité Publique</v>
      </c>
      <c r="Q1202" t="str">
        <f t="shared" si="204"/>
        <v>36</v>
      </c>
      <c r="R1202" t="str">
        <f t="shared" si="205"/>
        <v>Tarifs conventionnels assurance maladie</v>
      </c>
      <c r="U1202" t="str">
        <f>"770023166"</f>
        <v>770023166</v>
      </c>
    </row>
    <row r="1203" spans="1:21" x14ac:dyDescent="0.3">
      <c r="A1203" t="str">
        <f>"940025216"</f>
        <v>940025216</v>
      </c>
      <c r="B1203" t="str">
        <f>"848 523 411 00017"</f>
        <v>848 523 411 00017</v>
      </c>
      <c r="D1203" t="str">
        <f>"CDS MEDICO-DENTAIRE DU PARVIS CRETEIL"</f>
        <v>CDS MEDICO-DENTAIRE DU PARVIS CRETEIL</v>
      </c>
      <c r="F1203" t="str">
        <f>"5 AVENUE PIERRE BROSSOLETTE"</f>
        <v>5 AVENUE PIERRE BROSSOLETTE</v>
      </c>
      <c r="H1203" t="str">
        <f>"94000"</f>
        <v>94000</v>
      </c>
      <c r="I1203" t="str">
        <f>"CRETEIL"</f>
        <v>CRETEIL</v>
      </c>
      <c r="L1203" s="1">
        <v>43815</v>
      </c>
      <c r="M1203" t="str">
        <f t="shared" si="200"/>
        <v>124</v>
      </c>
      <c r="N1203" t="str">
        <f t="shared" si="201"/>
        <v>Centre de Santé</v>
      </c>
      <c r="O1203" t="str">
        <f t="shared" si="206"/>
        <v>60</v>
      </c>
      <c r="P1203" t="str">
        <f t="shared" si="207"/>
        <v>Association Loi 1901 non Reconnue d'Utilité Publique</v>
      </c>
      <c r="Q1203" t="str">
        <f t="shared" si="204"/>
        <v>36</v>
      </c>
      <c r="R1203" t="str">
        <f t="shared" si="205"/>
        <v>Tarifs conventionnels assurance maladie</v>
      </c>
      <c r="U1203" t="str">
        <f>"940025075"</f>
        <v>940025075</v>
      </c>
    </row>
    <row r="1204" spans="1:21" x14ac:dyDescent="0.3">
      <c r="A1204" t="str">
        <f>"950044636"</f>
        <v>950044636</v>
      </c>
      <c r="B1204" t="str">
        <f>"839 112 398 00020"</f>
        <v>839 112 398 00020</v>
      </c>
      <c r="D1204" t="str">
        <f>"CDS DENTAIRE GOUSSAINVILLE"</f>
        <v>CDS DENTAIRE GOUSSAINVILLE</v>
      </c>
      <c r="F1204" t="str">
        <f>"8 BOULEVARD ROGER SALENGRO"</f>
        <v>8 BOULEVARD ROGER SALENGRO</v>
      </c>
      <c r="H1204" t="str">
        <f>"95190"</f>
        <v>95190</v>
      </c>
      <c r="I1204" t="str">
        <f>"GOUSSAINVILLE"</f>
        <v>GOUSSAINVILLE</v>
      </c>
      <c r="J1204" t="str">
        <f>"06 58 20 45 03 "</f>
        <v xml:space="preserve">06 58 20 45 03 </v>
      </c>
      <c r="L1204" s="1">
        <v>43815</v>
      </c>
      <c r="M1204" t="str">
        <f t="shared" si="200"/>
        <v>124</v>
      </c>
      <c r="N1204" t="str">
        <f t="shared" si="201"/>
        <v>Centre de Santé</v>
      </c>
      <c r="O1204" t="str">
        <f t="shared" si="206"/>
        <v>60</v>
      </c>
      <c r="P1204" t="str">
        <f t="shared" si="207"/>
        <v>Association Loi 1901 non Reconnue d'Utilité Publique</v>
      </c>
      <c r="Q1204" t="str">
        <f t="shared" si="204"/>
        <v>36</v>
      </c>
      <c r="R1204" t="str">
        <f t="shared" si="205"/>
        <v>Tarifs conventionnels assurance maladie</v>
      </c>
      <c r="U1204" t="str">
        <f>"950044602"</f>
        <v>950044602</v>
      </c>
    </row>
    <row r="1205" spans="1:21" x14ac:dyDescent="0.3">
      <c r="A1205" t="str">
        <f>"350054383"</f>
        <v>350054383</v>
      </c>
      <c r="D1205" t="str">
        <f>"CDS DE VITRE"</f>
        <v>CDS DE VITRE</v>
      </c>
      <c r="F1205" t="str">
        <f>"14 BOULEVARD SAINT MARTIN"</f>
        <v>14 BOULEVARD SAINT MARTIN</v>
      </c>
      <c r="H1205" t="str">
        <f>"35500"</f>
        <v>35500</v>
      </c>
      <c r="I1205" t="str">
        <f>"VITRE"</f>
        <v>VITRE</v>
      </c>
      <c r="J1205" t="str">
        <f>"02 30 28 10 20 "</f>
        <v xml:space="preserve">02 30 28 10 20 </v>
      </c>
      <c r="L1205" s="1">
        <v>43812</v>
      </c>
      <c r="M1205" t="str">
        <f t="shared" si="200"/>
        <v>124</v>
      </c>
      <c r="N1205" t="str">
        <f t="shared" si="201"/>
        <v>Centre de Santé</v>
      </c>
      <c r="O1205" t="str">
        <f>"13"</f>
        <v>13</v>
      </c>
      <c r="P1205" t="str">
        <f>"Etablissement Public Communal d'Hospitalisation"</f>
        <v>Etablissement Public Communal d'Hospitalisation</v>
      </c>
      <c r="Q1205" t="str">
        <f t="shared" si="204"/>
        <v>36</v>
      </c>
      <c r="R1205" t="str">
        <f t="shared" si="205"/>
        <v>Tarifs conventionnels assurance maladie</v>
      </c>
      <c r="U1205" t="str">
        <f>"350000055"</f>
        <v>350000055</v>
      </c>
    </row>
    <row r="1206" spans="1:21" x14ac:dyDescent="0.3">
      <c r="A1206" t="str">
        <f>"560029886"</f>
        <v>560029886</v>
      </c>
      <c r="D1206" t="str">
        <f>"CDS STETHO’SCOP"</f>
        <v>CDS STETHO’SCOP</v>
      </c>
      <c r="F1206" t="str">
        <f>"10 RUE JACQUES BREL"</f>
        <v>10 RUE JACQUES BREL</v>
      </c>
      <c r="H1206" t="str">
        <f>"56700"</f>
        <v>56700</v>
      </c>
      <c r="I1206" t="str">
        <f>"HENNEBONT"</f>
        <v>HENNEBONT</v>
      </c>
      <c r="L1206" s="1">
        <v>43812</v>
      </c>
      <c r="M1206" t="str">
        <f t="shared" si="200"/>
        <v>124</v>
      </c>
      <c r="N1206" t="str">
        <f t="shared" si="201"/>
        <v>Centre de Santé</v>
      </c>
      <c r="O1206" t="str">
        <f>"60"</f>
        <v>60</v>
      </c>
      <c r="P1206" t="str">
        <f>"Association Loi 1901 non Reconnue d'Utilité Publique"</f>
        <v>Association Loi 1901 non Reconnue d'Utilité Publique</v>
      </c>
      <c r="Q1206" t="str">
        <f t="shared" si="204"/>
        <v>36</v>
      </c>
      <c r="R1206" t="str">
        <f t="shared" si="205"/>
        <v>Tarifs conventionnels assurance maladie</v>
      </c>
      <c r="U1206" t="str">
        <f>"560029878"</f>
        <v>560029878</v>
      </c>
    </row>
    <row r="1207" spans="1:21" x14ac:dyDescent="0.3">
      <c r="A1207" t="str">
        <f>"220022495"</f>
        <v>220022495</v>
      </c>
      <c r="B1207" t="str">
        <f>"318 110 780 00026"</f>
        <v>318 110 780 00026</v>
      </c>
      <c r="D1207" t="str">
        <f>"CDS INFIRMIER DE HILLION"</f>
        <v>CDS INFIRMIER DE HILLION</v>
      </c>
      <c r="F1207" t="str">
        <f>"1 RUE DU CRAPONT"</f>
        <v>1 RUE DU CRAPONT</v>
      </c>
      <c r="H1207" t="str">
        <f>"22120"</f>
        <v>22120</v>
      </c>
      <c r="I1207" t="str">
        <f>"HILLION"</f>
        <v>HILLION</v>
      </c>
      <c r="J1207" t="str">
        <f>"02 96 32 21 40 "</f>
        <v xml:space="preserve">02 96 32 21 40 </v>
      </c>
      <c r="K1207" t="str">
        <f>"02 96 71 03 13"</f>
        <v>02 96 71 03 13</v>
      </c>
      <c r="L1207" s="1">
        <v>43811</v>
      </c>
      <c r="M1207" t="str">
        <f t="shared" si="200"/>
        <v>124</v>
      </c>
      <c r="N1207" t="str">
        <f t="shared" si="201"/>
        <v>Centre de Santé</v>
      </c>
      <c r="O1207" t="str">
        <f>"60"</f>
        <v>60</v>
      </c>
      <c r="P1207" t="str">
        <f>"Association Loi 1901 non Reconnue d'Utilité Publique"</f>
        <v>Association Loi 1901 non Reconnue d'Utilité Publique</v>
      </c>
      <c r="Q1207" t="str">
        <f t="shared" si="204"/>
        <v>36</v>
      </c>
      <c r="R1207" t="str">
        <f t="shared" si="205"/>
        <v>Tarifs conventionnels assurance maladie</v>
      </c>
      <c r="U1207" t="str">
        <f>"220021265"</f>
        <v>220021265</v>
      </c>
    </row>
    <row r="1208" spans="1:21" x14ac:dyDescent="0.3">
      <c r="A1208" t="str">
        <f>"570029090"</f>
        <v>570029090</v>
      </c>
      <c r="B1208" t="str">
        <f>"853 025 633 00019"</f>
        <v>853 025 633 00019</v>
      </c>
      <c r="D1208" t="str">
        <f>"CENTRE DENTAIRE DE METZ"</f>
        <v>CENTRE DENTAIRE DE METZ</v>
      </c>
      <c r="F1208" t="str">
        <f>"9 RUE ROBERT SCHUMAN"</f>
        <v>9 RUE ROBERT SCHUMAN</v>
      </c>
      <c r="H1208" t="str">
        <f>"57000"</f>
        <v>57000</v>
      </c>
      <c r="I1208" t="str">
        <f>"METZ"</f>
        <v>METZ</v>
      </c>
      <c r="J1208" t="str">
        <f>"06 88 40 95 35 "</f>
        <v xml:space="preserve">06 88 40 95 35 </v>
      </c>
      <c r="L1208" s="1">
        <v>43809</v>
      </c>
      <c r="M1208" t="str">
        <f t="shared" si="200"/>
        <v>124</v>
      </c>
      <c r="N1208" t="str">
        <f t="shared" si="201"/>
        <v>Centre de Santé</v>
      </c>
      <c r="O1208" t="str">
        <f>"62"</f>
        <v>62</v>
      </c>
      <c r="P1208" t="str">
        <f>"Association de Droit Local"</f>
        <v>Association de Droit Local</v>
      </c>
      <c r="Q1208" t="str">
        <f t="shared" si="204"/>
        <v>36</v>
      </c>
      <c r="R1208" t="str">
        <f t="shared" si="205"/>
        <v>Tarifs conventionnels assurance maladie</v>
      </c>
      <c r="U1208" t="str">
        <f>"570029082"</f>
        <v>570029082</v>
      </c>
    </row>
    <row r="1209" spans="1:21" x14ac:dyDescent="0.3">
      <c r="A1209" t="str">
        <f>"950044610"</f>
        <v>950044610</v>
      </c>
      <c r="B1209" t="str">
        <f>"848 488 409 00022"</f>
        <v>848 488 409 00022</v>
      </c>
      <c r="D1209" t="str">
        <f>"CDS DENTAIRE D'HERBLAY"</f>
        <v>CDS DENTAIRE D'HERBLAY</v>
      </c>
      <c r="F1209" t="str">
        <f>"2 AVENUE PHILIPPE SEGUIN"</f>
        <v>2 AVENUE PHILIPPE SEGUIN</v>
      </c>
      <c r="H1209" t="str">
        <f>"95220"</f>
        <v>95220</v>
      </c>
      <c r="I1209" t="str">
        <f>"HERBLAY SUR SEINE"</f>
        <v>HERBLAY SUR SEINE</v>
      </c>
      <c r="L1209" s="1">
        <v>43809</v>
      </c>
      <c r="M1209" t="str">
        <f t="shared" si="200"/>
        <v>124</v>
      </c>
      <c r="N1209" t="str">
        <f t="shared" si="201"/>
        <v>Centre de Santé</v>
      </c>
      <c r="O1209" t="str">
        <f t="shared" ref="O1209:O1215" si="208">"60"</f>
        <v>60</v>
      </c>
      <c r="P1209" t="str">
        <f t="shared" ref="P1209:P1215" si="209">"Association Loi 1901 non Reconnue d'Utilité Publique"</f>
        <v>Association Loi 1901 non Reconnue d'Utilité Publique</v>
      </c>
      <c r="Q1209" t="str">
        <f t="shared" si="204"/>
        <v>36</v>
      </c>
      <c r="R1209" t="str">
        <f t="shared" si="205"/>
        <v>Tarifs conventionnels assurance maladie</v>
      </c>
      <c r="U1209" t="str">
        <f>"950044586"</f>
        <v>950044586</v>
      </c>
    </row>
    <row r="1210" spans="1:21" x14ac:dyDescent="0.3">
      <c r="A1210" t="str">
        <f>"750064396"</f>
        <v>750064396</v>
      </c>
      <c r="B1210" t="str">
        <f>"851 714 337 00017"</f>
        <v>851 714 337 00017</v>
      </c>
      <c r="D1210" t="str">
        <f>"CDS MEDICAL PARIS SANTE"</f>
        <v>CDS MEDICAL PARIS SANTE</v>
      </c>
      <c r="E1210" t="str">
        <f>"15/17"</f>
        <v>15/17</v>
      </c>
      <c r="F1210" t="str">
        <f>"15 RUE HENRI RIBIERE"</f>
        <v>15 RUE HENRI RIBIERE</v>
      </c>
      <c r="H1210" t="str">
        <f>"75019"</f>
        <v>75019</v>
      </c>
      <c r="I1210" t="str">
        <f>"PARIS"</f>
        <v>PARIS</v>
      </c>
      <c r="L1210" s="1">
        <v>43804</v>
      </c>
      <c r="M1210" t="str">
        <f t="shared" si="200"/>
        <v>124</v>
      </c>
      <c r="N1210" t="str">
        <f t="shared" si="201"/>
        <v>Centre de Santé</v>
      </c>
      <c r="O1210" t="str">
        <f t="shared" si="208"/>
        <v>60</v>
      </c>
      <c r="P1210" t="str">
        <f t="shared" si="209"/>
        <v>Association Loi 1901 non Reconnue d'Utilité Publique</v>
      </c>
      <c r="Q1210" t="str">
        <f t="shared" si="204"/>
        <v>36</v>
      </c>
      <c r="R1210" t="str">
        <f t="shared" si="205"/>
        <v>Tarifs conventionnels assurance maladie</v>
      </c>
      <c r="U1210" t="str">
        <f>"750064388"</f>
        <v>750064388</v>
      </c>
    </row>
    <row r="1211" spans="1:21" x14ac:dyDescent="0.3">
      <c r="A1211" t="str">
        <f>"770022986"</f>
        <v>770022986</v>
      </c>
      <c r="B1211" t="str">
        <f>"849 729 835 00017"</f>
        <v>849 729 835 00017</v>
      </c>
      <c r="D1211" t="str">
        <f>"CDS DENTAIRE MEAUX"</f>
        <v>CDS DENTAIRE MEAUX</v>
      </c>
      <c r="F1211" t="str">
        <f>"18 RUE JEAN BUREAU"</f>
        <v>18 RUE JEAN BUREAU</v>
      </c>
      <c r="H1211" t="str">
        <f>"77100"</f>
        <v>77100</v>
      </c>
      <c r="I1211" t="str">
        <f>"MEAUX"</f>
        <v>MEAUX</v>
      </c>
      <c r="L1211" s="1">
        <v>43804</v>
      </c>
      <c r="M1211" t="str">
        <f t="shared" si="200"/>
        <v>124</v>
      </c>
      <c r="N1211" t="str">
        <f t="shared" si="201"/>
        <v>Centre de Santé</v>
      </c>
      <c r="O1211" t="str">
        <f t="shared" si="208"/>
        <v>60</v>
      </c>
      <c r="P1211" t="str">
        <f t="shared" si="209"/>
        <v>Association Loi 1901 non Reconnue d'Utilité Publique</v>
      </c>
      <c r="Q1211" t="str">
        <f t="shared" si="204"/>
        <v>36</v>
      </c>
      <c r="R1211" t="str">
        <f t="shared" si="205"/>
        <v>Tarifs conventionnels assurance maladie</v>
      </c>
      <c r="U1211" t="str">
        <f>"770022960"</f>
        <v>770022960</v>
      </c>
    </row>
    <row r="1212" spans="1:21" x14ac:dyDescent="0.3">
      <c r="A1212" t="str">
        <f>"920034147"</f>
        <v>920034147</v>
      </c>
      <c r="B1212" t="str">
        <f>"849 814 397 00014"</f>
        <v>849 814 397 00014</v>
      </c>
      <c r="D1212" t="str">
        <f>"CDS DENTAIRE COLOMBES VALMY"</f>
        <v>CDS DENTAIRE COLOMBES VALMY</v>
      </c>
      <c r="F1212" t="str">
        <f>"12 BOULEVARD DE VALMY"</f>
        <v>12 BOULEVARD DE VALMY</v>
      </c>
      <c r="H1212" t="str">
        <f>"92700"</f>
        <v>92700</v>
      </c>
      <c r="I1212" t="str">
        <f>"COLOMBES"</f>
        <v>COLOMBES</v>
      </c>
      <c r="J1212" t="str">
        <f>"06 21 99 25 80 "</f>
        <v xml:space="preserve">06 21 99 25 80 </v>
      </c>
      <c r="L1212" s="1">
        <v>43804</v>
      </c>
      <c r="M1212" t="str">
        <f t="shared" si="200"/>
        <v>124</v>
      </c>
      <c r="N1212" t="str">
        <f t="shared" si="201"/>
        <v>Centre de Santé</v>
      </c>
      <c r="O1212" t="str">
        <f t="shared" si="208"/>
        <v>60</v>
      </c>
      <c r="P1212" t="str">
        <f t="shared" si="209"/>
        <v>Association Loi 1901 non Reconnue d'Utilité Publique</v>
      </c>
      <c r="Q1212" t="str">
        <f t="shared" si="204"/>
        <v>36</v>
      </c>
      <c r="R1212" t="str">
        <f t="shared" si="205"/>
        <v>Tarifs conventionnels assurance maladie</v>
      </c>
      <c r="U1212" t="str">
        <f>"920034006"</f>
        <v>920034006</v>
      </c>
    </row>
    <row r="1213" spans="1:21" x14ac:dyDescent="0.3">
      <c r="A1213" t="str">
        <f>"920036027"</f>
        <v>920036027</v>
      </c>
      <c r="B1213" t="str">
        <f>"852 791 664 00018"</f>
        <v>852 791 664 00018</v>
      </c>
      <c r="D1213" t="str">
        <f>"CDS DENTAIRE LES SABLONS"</f>
        <v>CDS DENTAIRE LES SABLONS</v>
      </c>
      <c r="F1213" t="str">
        <f>"50 AVENUE CHARLES DE GAULLE"</f>
        <v>50 AVENUE CHARLES DE GAULLE</v>
      </c>
      <c r="H1213" t="str">
        <f>"92200"</f>
        <v>92200</v>
      </c>
      <c r="I1213" t="str">
        <f>"NEUILLY SUR SEINE"</f>
        <v>NEUILLY SUR SEINE</v>
      </c>
      <c r="L1213" s="1">
        <v>43804</v>
      </c>
      <c r="M1213" t="str">
        <f t="shared" si="200"/>
        <v>124</v>
      </c>
      <c r="N1213" t="str">
        <f t="shared" si="201"/>
        <v>Centre de Santé</v>
      </c>
      <c r="O1213" t="str">
        <f t="shared" si="208"/>
        <v>60</v>
      </c>
      <c r="P1213" t="str">
        <f t="shared" si="209"/>
        <v>Association Loi 1901 non Reconnue d'Utilité Publique</v>
      </c>
      <c r="Q1213" t="str">
        <f t="shared" si="204"/>
        <v>36</v>
      </c>
      <c r="R1213" t="str">
        <f t="shared" si="205"/>
        <v>Tarifs conventionnels assurance maladie</v>
      </c>
      <c r="U1213" t="str">
        <f>"920036019"</f>
        <v>920036019</v>
      </c>
    </row>
    <row r="1214" spans="1:21" x14ac:dyDescent="0.3">
      <c r="A1214" t="str">
        <f>"490021136"</f>
        <v>490021136</v>
      </c>
      <c r="B1214" t="str">
        <f>"850 527 805 00012"</f>
        <v>850 527 805 00012</v>
      </c>
      <c r="D1214" t="str">
        <f>"CENTRE DENTAIRE ET D'ORTHODONTIE"</f>
        <v>CENTRE DENTAIRE ET D'ORTHODONTIE</v>
      </c>
      <c r="F1214" t="str">
        <f>"2 RUE DU QUINQUONCE"</f>
        <v>2 RUE DU QUINQUONCE</v>
      </c>
      <c r="H1214" t="str">
        <f>"49100"</f>
        <v>49100</v>
      </c>
      <c r="I1214" t="str">
        <f>"ANGERS"</f>
        <v>ANGERS</v>
      </c>
      <c r="J1214" t="str">
        <f>"06 48 09 20 02 "</f>
        <v xml:space="preserve">06 48 09 20 02 </v>
      </c>
      <c r="L1214" s="1">
        <v>43803</v>
      </c>
      <c r="M1214" t="str">
        <f t="shared" si="200"/>
        <v>124</v>
      </c>
      <c r="N1214" t="str">
        <f t="shared" si="201"/>
        <v>Centre de Santé</v>
      </c>
      <c r="O1214" t="str">
        <f t="shared" si="208"/>
        <v>60</v>
      </c>
      <c r="P1214" t="str">
        <f t="shared" si="209"/>
        <v>Association Loi 1901 non Reconnue d'Utilité Publique</v>
      </c>
      <c r="Q1214" t="str">
        <f t="shared" si="204"/>
        <v>36</v>
      </c>
      <c r="R1214" t="str">
        <f t="shared" si="205"/>
        <v>Tarifs conventionnels assurance maladie</v>
      </c>
      <c r="U1214" t="str">
        <f>"490021128"</f>
        <v>490021128</v>
      </c>
    </row>
    <row r="1215" spans="1:21" x14ac:dyDescent="0.3">
      <c r="A1215" t="str">
        <f>"690045380"</f>
        <v>690045380</v>
      </c>
      <c r="B1215" t="str">
        <f>"851 522 458 00013"</f>
        <v>851 522 458 00013</v>
      </c>
      <c r="D1215" t="str">
        <f>"CENTRE DE SANTE DENTAIRE VILLEURBANNE"</f>
        <v>CENTRE DE SANTE DENTAIRE VILLEURBANNE</v>
      </c>
      <c r="F1215" t="str">
        <f>"13 COURS TOLSTOI"</f>
        <v>13 COURS TOLSTOI</v>
      </c>
      <c r="H1215" t="str">
        <f>"69100"</f>
        <v>69100</v>
      </c>
      <c r="I1215" t="str">
        <f>"VILLEURBANNE"</f>
        <v>VILLEURBANNE</v>
      </c>
      <c r="L1215" s="1">
        <v>43803</v>
      </c>
      <c r="M1215" t="str">
        <f t="shared" si="200"/>
        <v>124</v>
      </c>
      <c r="N1215" t="str">
        <f t="shared" si="201"/>
        <v>Centre de Santé</v>
      </c>
      <c r="O1215" t="str">
        <f t="shared" si="208"/>
        <v>60</v>
      </c>
      <c r="P1215" t="str">
        <f t="shared" si="209"/>
        <v>Association Loi 1901 non Reconnue d'Utilité Publique</v>
      </c>
      <c r="Q1215" t="str">
        <f t="shared" si="204"/>
        <v>36</v>
      </c>
      <c r="R1215" t="str">
        <f t="shared" si="205"/>
        <v>Tarifs conventionnels assurance maladie</v>
      </c>
      <c r="U1215" t="str">
        <f>"690045372"</f>
        <v>690045372</v>
      </c>
    </row>
    <row r="1216" spans="1:21" x14ac:dyDescent="0.3">
      <c r="A1216" t="str">
        <f>"060029733"</f>
        <v>060029733</v>
      </c>
      <c r="B1216" t="str">
        <f>"850 198 821 00017"</f>
        <v>850 198 821 00017</v>
      </c>
      <c r="D1216" t="str">
        <f>"CDS DENTAIRE NICE FRANCE"</f>
        <v>CDS DENTAIRE NICE FRANCE</v>
      </c>
      <c r="F1216" t="str">
        <f>"134 RUE DE FRANCE"</f>
        <v>134 RUE DE FRANCE</v>
      </c>
      <c r="H1216" t="str">
        <f>"06000"</f>
        <v>06000</v>
      </c>
      <c r="I1216" t="str">
        <f>"NICE"</f>
        <v>NICE</v>
      </c>
      <c r="J1216" t="str">
        <f>"06 88 40 95 35 "</f>
        <v xml:space="preserve">06 88 40 95 35 </v>
      </c>
      <c r="L1216" s="1">
        <v>43802</v>
      </c>
      <c r="M1216" t="str">
        <f t="shared" si="200"/>
        <v>124</v>
      </c>
      <c r="N1216" t="str">
        <f t="shared" si="201"/>
        <v>Centre de Santé</v>
      </c>
      <c r="O1216" t="str">
        <f>"61"</f>
        <v>61</v>
      </c>
      <c r="P1216" t="str">
        <f>"Association Loi 1901 Reconnue d'Utilité Publique"</f>
        <v>Association Loi 1901 Reconnue d'Utilité Publique</v>
      </c>
      <c r="Q1216" t="str">
        <f t="shared" si="204"/>
        <v>36</v>
      </c>
      <c r="R1216" t="str">
        <f t="shared" si="205"/>
        <v>Tarifs conventionnels assurance maladie</v>
      </c>
      <c r="U1216" t="str">
        <f>"060029725"</f>
        <v>060029725</v>
      </c>
    </row>
    <row r="1217" spans="1:21" x14ac:dyDescent="0.3">
      <c r="A1217" t="str">
        <f>"450022496"</f>
        <v>450022496</v>
      </c>
      <c r="B1217" t="str">
        <f>"849 750 476 00012"</f>
        <v>849 750 476 00012</v>
      </c>
      <c r="D1217" t="str">
        <f>"CENTRE DE SANTÉ DENTAIRE ORLÉANS"</f>
        <v>CENTRE DE SANTÉ DENTAIRE ORLÉANS</v>
      </c>
      <c r="F1217" t="str">
        <f>"2 RUE DU CHEVAL ROUGE"</f>
        <v>2 RUE DU CHEVAL ROUGE</v>
      </c>
      <c r="H1217" t="str">
        <f>"45000"</f>
        <v>45000</v>
      </c>
      <c r="I1217" t="str">
        <f>"ORLEANS"</f>
        <v>ORLEANS</v>
      </c>
      <c r="L1217" s="1">
        <v>43801</v>
      </c>
      <c r="M1217" t="str">
        <f t="shared" si="200"/>
        <v>124</v>
      </c>
      <c r="N1217" t="str">
        <f t="shared" si="201"/>
        <v>Centre de Santé</v>
      </c>
      <c r="O1217" t="str">
        <f>"60"</f>
        <v>60</v>
      </c>
      <c r="P1217" t="str">
        <f>"Association Loi 1901 non Reconnue d'Utilité Publique"</f>
        <v>Association Loi 1901 non Reconnue d'Utilité Publique</v>
      </c>
      <c r="Q1217" t="str">
        <f>"99"</f>
        <v>99</v>
      </c>
      <c r="R1217" t="str">
        <f>"Indéterminé"</f>
        <v>Indéterminé</v>
      </c>
      <c r="U1217" t="str">
        <f>"930029509"</f>
        <v>930029509</v>
      </c>
    </row>
    <row r="1218" spans="1:21" x14ac:dyDescent="0.3">
      <c r="A1218" t="str">
        <f>"600014799"</f>
        <v>600014799</v>
      </c>
      <c r="B1218" t="str">
        <f>"849 729 462 00010"</f>
        <v>849 729 462 00010</v>
      </c>
      <c r="D1218" t="str">
        <f>"CSD CREIL"</f>
        <v>CSD CREIL</v>
      </c>
      <c r="F1218" t="str">
        <f>"14 AVENUE ANTOINE CHANUT"</f>
        <v>14 AVENUE ANTOINE CHANUT</v>
      </c>
      <c r="H1218" t="str">
        <f>"60100"</f>
        <v>60100</v>
      </c>
      <c r="I1218" t="str">
        <f>"CREIL"</f>
        <v>CREIL</v>
      </c>
      <c r="J1218" t="str">
        <f>"01 86 90 33 33 "</f>
        <v xml:space="preserve">01 86 90 33 33 </v>
      </c>
      <c r="L1218" s="1">
        <v>43801</v>
      </c>
      <c r="M1218" t="str">
        <f t="shared" ref="M1218:M1281" si="210">"124"</f>
        <v>124</v>
      </c>
      <c r="N1218" t="str">
        <f t="shared" ref="N1218:N1281" si="211">"Centre de Santé"</f>
        <v>Centre de Santé</v>
      </c>
      <c r="O1218" t="str">
        <f>"61"</f>
        <v>61</v>
      </c>
      <c r="P1218" t="str">
        <f>"Association Loi 1901 Reconnue d'Utilité Publique"</f>
        <v>Association Loi 1901 Reconnue d'Utilité Publique</v>
      </c>
      <c r="Q1218" t="str">
        <f t="shared" ref="Q1218:Q1237" si="212">"36"</f>
        <v>36</v>
      </c>
      <c r="R1218" t="str">
        <f t="shared" ref="R1218:R1237" si="213">"Tarifs conventionnels assurance maladie"</f>
        <v>Tarifs conventionnels assurance maladie</v>
      </c>
      <c r="U1218" t="str">
        <f>"600014781"</f>
        <v>600014781</v>
      </c>
    </row>
    <row r="1219" spans="1:21" x14ac:dyDescent="0.3">
      <c r="A1219" t="str">
        <f>"750063844"</f>
        <v>750063844</v>
      </c>
      <c r="B1219" t="str">
        <f>"849 112 198 00023"</f>
        <v>849 112 198 00023</v>
      </c>
      <c r="D1219" t="str">
        <f>"CDS PARISIEN MEDICAL ET OPHTLMOLOGIE"</f>
        <v>CDS PARISIEN MEDICAL ET OPHTLMOLOGIE</v>
      </c>
      <c r="F1219" t="str">
        <f>"26 BOULEVARD GOUVION SAINT CYR"</f>
        <v>26 BOULEVARD GOUVION SAINT CYR</v>
      </c>
      <c r="H1219" t="str">
        <f>"75017"</f>
        <v>75017</v>
      </c>
      <c r="I1219" t="str">
        <f>"PARIS"</f>
        <v>PARIS</v>
      </c>
      <c r="J1219" t="str">
        <f>"07 68 52 66 85 "</f>
        <v xml:space="preserve">07 68 52 66 85 </v>
      </c>
      <c r="L1219" s="1">
        <v>43801</v>
      </c>
      <c r="M1219" t="str">
        <f t="shared" si="210"/>
        <v>124</v>
      </c>
      <c r="N1219" t="str">
        <f t="shared" si="211"/>
        <v>Centre de Santé</v>
      </c>
      <c r="O1219" t="str">
        <f>"60"</f>
        <v>60</v>
      </c>
      <c r="P1219" t="str">
        <f>"Association Loi 1901 non Reconnue d'Utilité Publique"</f>
        <v>Association Loi 1901 non Reconnue d'Utilité Publique</v>
      </c>
      <c r="Q1219" t="str">
        <f t="shared" si="212"/>
        <v>36</v>
      </c>
      <c r="R1219" t="str">
        <f t="shared" si="213"/>
        <v>Tarifs conventionnels assurance maladie</v>
      </c>
      <c r="U1219" t="str">
        <f>"750063828"</f>
        <v>750063828</v>
      </c>
    </row>
    <row r="1220" spans="1:21" x14ac:dyDescent="0.3">
      <c r="A1220" t="str">
        <f>"770022911"</f>
        <v>770022911</v>
      </c>
      <c r="B1220" t="str">
        <f>"217 703 057 00356"</f>
        <v>217 703 057 00356</v>
      </c>
      <c r="D1220" t="str">
        <f>"CMS MONTEREAU"</f>
        <v>CMS MONTEREAU</v>
      </c>
      <c r="F1220" t="str">
        <f>"9 RUE FLEUR BEGNE"</f>
        <v>9 RUE FLEUR BEGNE</v>
      </c>
      <c r="H1220" t="str">
        <f>"77130"</f>
        <v>77130</v>
      </c>
      <c r="I1220" t="str">
        <f>"MONTEREAU FAULT YONNE"</f>
        <v>MONTEREAU FAULT YONNE</v>
      </c>
      <c r="J1220" t="str">
        <f>"01 82 34 00 20 "</f>
        <v xml:space="preserve">01 82 34 00 20 </v>
      </c>
      <c r="L1220" s="1">
        <v>43801</v>
      </c>
      <c r="M1220" t="str">
        <f t="shared" si="210"/>
        <v>124</v>
      </c>
      <c r="N1220" t="str">
        <f t="shared" si="211"/>
        <v>Centre de Santé</v>
      </c>
      <c r="O1220" t="str">
        <f>"03"</f>
        <v>03</v>
      </c>
      <c r="P1220" t="str">
        <f>"Commune"</f>
        <v>Commune</v>
      </c>
      <c r="Q1220" t="str">
        <f t="shared" si="212"/>
        <v>36</v>
      </c>
      <c r="R1220" t="str">
        <f t="shared" si="213"/>
        <v>Tarifs conventionnels assurance maladie</v>
      </c>
      <c r="U1220" t="str">
        <f>"770806602"</f>
        <v>770806602</v>
      </c>
    </row>
    <row r="1221" spans="1:21" x14ac:dyDescent="0.3">
      <c r="A1221" t="str">
        <f>"930029137"</f>
        <v>930029137</v>
      </c>
      <c r="B1221" t="str">
        <f>"850 554 650 00018"</f>
        <v>850 554 650 00018</v>
      </c>
      <c r="D1221" t="str">
        <f>"CDS MEDICO-DENTAIRE DE ROMAINVILLE"</f>
        <v>CDS MEDICO-DENTAIRE DE ROMAINVILLE</v>
      </c>
      <c r="F1221" t="str">
        <f>"9 AVENUE PAUL VAILLANT COUTURIER"</f>
        <v>9 AVENUE PAUL VAILLANT COUTURIER</v>
      </c>
      <c r="H1221" t="str">
        <f>"93230"</f>
        <v>93230</v>
      </c>
      <c r="I1221" t="str">
        <f>"ROMAINVILLE"</f>
        <v>ROMAINVILLE</v>
      </c>
      <c r="L1221" s="1">
        <v>43801</v>
      </c>
      <c r="M1221" t="str">
        <f t="shared" si="210"/>
        <v>124</v>
      </c>
      <c r="N1221" t="str">
        <f t="shared" si="211"/>
        <v>Centre de Santé</v>
      </c>
      <c r="O1221" t="str">
        <f>"60"</f>
        <v>60</v>
      </c>
      <c r="P1221" t="str">
        <f>"Association Loi 1901 non Reconnue d'Utilité Publique"</f>
        <v>Association Loi 1901 non Reconnue d'Utilité Publique</v>
      </c>
      <c r="Q1221" t="str">
        <f t="shared" si="212"/>
        <v>36</v>
      </c>
      <c r="R1221" t="str">
        <f t="shared" si="213"/>
        <v>Tarifs conventionnels assurance maladie</v>
      </c>
      <c r="U1221" t="str">
        <f>"930029129"</f>
        <v>930029129</v>
      </c>
    </row>
    <row r="1222" spans="1:21" x14ac:dyDescent="0.3">
      <c r="A1222" t="str">
        <f>"940025927"</f>
        <v>940025927</v>
      </c>
      <c r="B1222" t="str">
        <f>"219 400 025 00017"</f>
        <v>219 400 025 00017</v>
      </c>
      <c r="D1222" t="str">
        <f>"CMS DU GRAND ENSEMBLE ALFORTVILLE"</f>
        <v>CMS DU GRAND ENSEMBLE ALFORTVILLE</v>
      </c>
      <c r="F1222" t="str">
        <f>"1 ALLEE DE LA COMMUNE"</f>
        <v>1 ALLEE DE LA COMMUNE</v>
      </c>
      <c r="H1222" t="str">
        <f>"94140"</f>
        <v>94140</v>
      </c>
      <c r="I1222" t="str">
        <f>"ALFORTVILLE"</f>
        <v>ALFORTVILLE</v>
      </c>
      <c r="J1222" t="str">
        <f>"01 58 73 28 47 "</f>
        <v xml:space="preserve">01 58 73 28 47 </v>
      </c>
      <c r="L1222" s="1">
        <v>43801</v>
      </c>
      <c r="M1222" t="str">
        <f t="shared" si="210"/>
        <v>124</v>
      </c>
      <c r="N1222" t="str">
        <f t="shared" si="211"/>
        <v>Centre de Santé</v>
      </c>
      <c r="O1222" t="str">
        <f>"03"</f>
        <v>03</v>
      </c>
      <c r="P1222" t="str">
        <f>"Commune"</f>
        <v>Commune</v>
      </c>
      <c r="Q1222" t="str">
        <f t="shared" si="212"/>
        <v>36</v>
      </c>
      <c r="R1222" t="str">
        <f t="shared" si="213"/>
        <v>Tarifs conventionnels assurance maladie</v>
      </c>
      <c r="U1222" t="str">
        <f>"940806359"</f>
        <v>940806359</v>
      </c>
    </row>
    <row r="1223" spans="1:21" x14ac:dyDescent="0.3">
      <c r="A1223" t="str">
        <f>"950044867"</f>
        <v>950044867</v>
      </c>
      <c r="B1223" t="str">
        <f>"877 696 062 00018"</f>
        <v>877 696 062 00018</v>
      </c>
      <c r="D1223" t="str">
        <f>"CDS DENTAIRE BEZONS"</f>
        <v>CDS DENTAIRE BEZONS</v>
      </c>
      <c r="F1223" t="str">
        <f>"84 RUE DE PONTOISE"</f>
        <v>84 RUE DE PONTOISE</v>
      </c>
      <c r="H1223" t="str">
        <f>"95870"</f>
        <v>95870</v>
      </c>
      <c r="I1223" t="str">
        <f>"BEZONS"</f>
        <v>BEZONS</v>
      </c>
      <c r="L1223" s="1">
        <v>43801</v>
      </c>
      <c r="M1223" t="str">
        <f t="shared" si="210"/>
        <v>124</v>
      </c>
      <c r="N1223" t="str">
        <f t="shared" si="211"/>
        <v>Centre de Santé</v>
      </c>
      <c r="O1223" t="str">
        <f>"60"</f>
        <v>60</v>
      </c>
      <c r="P1223" t="str">
        <f>"Association Loi 1901 non Reconnue d'Utilité Publique"</f>
        <v>Association Loi 1901 non Reconnue d'Utilité Publique</v>
      </c>
      <c r="Q1223" t="str">
        <f t="shared" si="212"/>
        <v>36</v>
      </c>
      <c r="R1223" t="str">
        <f t="shared" si="213"/>
        <v>Tarifs conventionnels assurance maladie</v>
      </c>
      <c r="U1223" t="str">
        <f>"950044834"</f>
        <v>950044834</v>
      </c>
    </row>
    <row r="1224" spans="1:21" x14ac:dyDescent="0.3">
      <c r="A1224" t="str">
        <f>"920035052"</f>
        <v>920035052</v>
      </c>
      <c r="B1224" t="str">
        <f>"841 219 835 00011"</f>
        <v>841 219 835 00011</v>
      </c>
      <c r="D1224" t="str">
        <f>"CDS MEDICO-DENTAIRE CHATENAY MALABRY"</f>
        <v>CDS MEDICO-DENTAIRE CHATENAY MALABRY</v>
      </c>
      <c r="F1224" t="str">
        <f>"440 AVENUE DE LA DIVISION LECLERC"</f>
        <v>440 AVENUE DE LA DIVISION LECLERC</v>
      </c>
      <c r="H1224" t="str">
        <f>"92290"</f>
        <v>92290</v>
      </c>
      <c r="I1224" t="str">
        <f>"CHATENAY MALABRY"</f>
        <v>CHATENAY MALABRY</v>
      </c>
      <c r="L1224" s="1">
        <v>43800</v>
      </c>
      <c r="M1224" t="str">
        <f t="shared" si="210"/>
        <v>124</v>
      </c>
      <c r="N1224" t="str">
        <f t="shared" si="211"/>
        <v>Centre de Santé</v>
      </c>
      <c r="O1224" t="str">
        <f>"60"</f>
        <v>60</v>
      </c>
      <c r="P1224" t="str">
        <f>"Association Loi 1901 non Reconnue d'Utilité Publique"</f>
        <v>Association Loi 1901 non Reconnue d'Utilité Publique</v>
      </c>
      <c r="Q1224" t="str">
        <f t="shared" si="212"/>
        <v>36</v>
      </c>
      <c r="R1224" t="str">
        <f t="shared" si="213"/>
        <v>Tarifs conventionnels assurance maladie</v>
      </c>
      <c r="U1224" t="str">
        <f>"940025794"</f>
        <v>940025794</v>
      </c>
    </row>
    <row r="1225" spans="1:21" x14ac:dyDescent="0.3">
      <c r="A1225" t="str">
        <f>"470016809"</f>
        <v>470016809</v>
      </c>
      <c r="B1225" t="str">
        <f>"264 700 741 00012"</f>
        <v>264 700 741 00012</v>
      </c>
      <c r="D1225" t="str">
        <f>"CDS MUNICIPAL"</f>
        <v>CDS MUNICIPAL</v>
      </c>
      <c r="F1225" t="str">
        <f>"PLACE MAL DE LATTRE DE TASSIGNY"</f>
        <v>PLACE MAL DE LATTRE DE TASSIGNY</v>
      </c>
      <c r="H1225" t="str">
        <f>"47510"</f>
        <v>47510</v>
      </c>
      <c r="I1225" t="str">
        <f>"FOULAYRONNES"</f>
        <v>FOULAYRONNES</v>
      </c>
      <c r="J1225" t="str">
        <f>"05 54 41 00 30 "</f>
        <v xml:space="preserve">05 54 41 00 30 </v>
      </c>
      <c r="L1225" s="1">
        <v>43798</v>
      </c>
      <c r="M1225" t="str">
        <f t="shared" si="210"/>
        <v>124</v>
      </c>
      <c r="N1225" t="str">
        <f t="shared" si="211"/>
        <v>Centre de Santé</v>
      </c>
      <c r="O1225" t="str">
        <f>"17"</f>
        <v>17</v>
      </c>
      <c r="P1225" t="str">
        <f>"Centre Communal d'Action Sociale"</f>
        <v>Centre Communal d'Action Sociale</v>
      </c>
      <c r="Q1225" t="str">
        <f t="shared" si="212"/>
        <v>36</v>
      </c>
      <c r="R1225" t="str">
        <f t="shared" si="213"/>
        <v>Tarifs conventionnels assurance maladie</v>
      </c>
      <c r="U1225" t="str">
        <f>"470016791"</f>
        <v>470016791</v>
      </c>
    </row>
    <row r="1226" spans="1:21" x14ac:dyDescent="0.3">
      <c r="A1226" t="str">
        <f>"750064545"</f>
        <v>750064545</v>
      </c>
      <c r="B1226" t="str">
        <f>"852 928 811 00011"</f>
        <v>852 928 811 00011</v>
      </c>
      <c r="D1226" t="str">
        <f>"CDS CENTRE DE SANTE GARE DU NORD"</f>
        <v>CDS CENTRE DE SANTE GARE DU NORD</v>
      </c>
      <c r="F1226" t="str">
        <f>"105 BOULEVARD DE MAGENTA"</f>
        <v>105 BOULEVARD DE MAGENTA</v>
      </c>
      <c r="H1226" t="str">
        <f>"75010"</f>
        <v>75010</v>
      </c>
      <c r="I1226" t="str">
        <f>"PARIS"</f>
        <v>PARIS</v>
      </c>
      <c r="J1226" t="str">
        <f>"01 40 16 21 14 "</f>
        <v xml:space="preserve">01 40 16 21 14 </v>
      </c>
      <c r="L1226" s="1">
        <v>43796</v>
      </c>
      <c r="M1226" t="str">
        <f t="shared" si="210"/>
        <v>124</v>
      </c>
      <c r="N1226" t="str">
        <f t="shared" si="211"/>
        <v>Centre de Santé</v>
      </c>
      <c r="O1226" t="str">
        <f>"60"</f>
        <v>60</v>
      </c>
      <c r="P1226" t="str">
        <f>"Association Loi 1901 non Reconnue d'Utilité Publique"</f>
        <v>Association Loi 1901 non Reconnue d'Utilité Publique</v>
      </c>
      <c r="Q1226" t="str">
        <f t="shared" si="212"/>
        <v>36</v>
      </c>
      <c r="R1226" t="str">
        <f t="shared" si="213"/>
        <v>Tarifs conventionnels assurance maladie</v>
      </c>
      <c r="U1226" t="str">
        <f>"750064503"</f>
        <v>750064503</v>
      </c>
    </row>
    <row r="1227" spans="1:21" x14ac:dyDescent="0.3">
      <c r="A1227" t="str">
        <f>"590062774"</f>
        <v>590062774</v>
      </c>
      <c r="B1227" t="str">
        <f>"877 979 203 00024"</f>
        <v>877 979 203 00024</v>
      </c>
      <c r="D1227" t="str">
        <f>"CSI DOUAI STE AMÉ"</f>
        <v>CSI DOUAI STE AMÉ</v>
      </c>
      <c r="F1227" t="str">
        <f>"63 PLACE SAINTE AMÉ"</f>
        <v>63 PLACE SAINTE AMÉ</v>
      </c>
      <c r="H1227" t="str">
        <f>"59500"</f>
        <v>59500</v>
      </c>
      <c r="I1227" t="str">
        <f>"DOUAI"</f>
        <v>DOUAI</v>
      </c>
      <c r="L1227" s="1">
        <v>43794</v>
      </c>
      <c r="M1227" t="str">
        <f t="shared" si="210"/>
        <v>124</v>
      </c>
      <c r="N1227" t="str">
        <f t="shared" si="211"/>
        <v>Centre de Santé</v>
      </c>
      <c r="O1227" t="str">
        <f>"60"</f>
        <v>60</v>
      </c>
      <c r="P1227" t="str">
        <f>"Association Loi 1901 non Reconnue d'Utilité Publique"</f>
        <v>Association Loi 1901 non Reconnue d'Utilité Publique</v>
      </c>
      <c r="Q1227" t="str">
        <f t="shared" si="212"/>
        <v>36</v>
      </c>
      <c r="R1227" t="str">
        <f t="shared" si="213"/>
        <v>Tarifs conventionnels assurance maladie</v>
      </c>
      <c r="U1227" t="str">
        <f>"590062766"</f>
        <v>590062766</v>
      </c>
    </row>
    <row r="1228" spans="1:21" x14ac:dyDescent="0.3">
      <c r="A1228" t="str">
        <f>"640019824"</f>
        <v>640019824</v>
      </c>
      <c r="B1228" t="str">
        <f>"387 647 597 00112"</f>
        <v>387 647 597 00112</v>
      </c>
      <c r="D1228" t="str">
        <f>"CENTRE DE SANTE DES LUYS"</f>
        <v>CENTRE DE SANTE DES LUYS</v>
      </c>
      <c r="F1228" t="str">
        <f>"RUE GEORGES DONNEY"</f>
        <v>RUE GEORGES DONNEY</v>
      </c>
      <c r="H1228" t="str">
        <f>"64410"</f>
        <v>64410</v>
      </c>
      <c r="I1228" t="str">
        <f>"ARZACQ ARRAZIGUET"</f>
        <v>ARZACQ ARRAZIGUET</v>
      </c>
      <c r="J1228" t="str">
        <f>"05 59 04 47 00 "</f>
        <v xml:space="preserve">05 59 04 47 00 </v>
      </c>
      <c r="K1228" t="str">
        <f>"05 59 04 47 00"</f>
        <v>05 59 04 47 00</v>
      </c>
      <c r="L1228" s="1">
        <v>43794</v>
      </c>
      <c r="M1228" t="str">
        <f t="shared" si="210"/>
        <v>124</v>
      </c>
      <c r="N1228" t="str">
        <f t="shared" si="211"/>
        <v>Centre de Santé</v>
      </c>
      <c r="O1228" t="str">
        <f>"60"</f>
        <v>60</v>
      </c>
      <c r="P1228" t="str">
        <f>"Association Loi 1901 non Reconnue d'Utilité Publique"</f>
        <v>Association Loi 1901 non Reconnue d'Utilité Publique</v>
      </c>
      <c r="Q1228" t="str">
        <f t="shared" si="212"/>
        <v>36</v>
      </c>
      <c r="R1228" t="str">
        <f t="shared" si="213"/>
        <v>Tarifs conventionnels assurance maladie</v>
      </c>
      <c r="U1228" t="str">
        <f>"640795621"</f>
        <v>640795621</v>
      </c>
    </row>
    <row r="1229" spans="1:21" x14ac:dyDescent="0.3">
      <c r="A1229" t="str">
        <f>"750064156"</f>
        <v>750064156</v>
      </c>
      <c r="D1229" t="str">
        <f>"CDS MEDICO-DENTAIRE PEPINIERE"</f>
        <v>CDS MEDICO-DENTAIRE PEPINIERE</v>
      </c>
      <c r="F1229" t="str">
        <f>"26 RUE DE LA PEPINIERE"</f>
        <v>26 RUE DE LA PEPINIERE</v>
      </c>
      <c r="H1229" t="str">
        <f>"75008"</f>
        <v>75008</v>
      </c>
      <c r="I1229" t="str">
        <f>"PARIS"</f>
        <v>PARIS</v>
      </c>
      <c r="L1229" s="1">
        <v>43794</v>
      </c>
      <c r="M1229" t="str">
        <f t="shared" si="210"/>
        <v>124</v>
      </c>
      <c r="N1229" t="str">
        <f t="shared" si="211"/>
        <v>Centre de Santé</v>
      </c>
      <c r="O1229" t="str">
        <f>"60"</f>
        <v>60</v>
      </c>
      <c r="P1229" t="str">
        <f>"Association Loi 1901 non Reconnue d'Utilité Publique"</f>
        <v>Association Loi 1901 non Reconnue d'Utilité Publique</v>
      </c>
      <c r="Q1229" t="str">
        <f t="shared" si="212"/>
        <v>36</v>
      </c>
      <c r="R1229" t="str">
        <f t="shared" si="213"/>
        <v>Tarifs conventionnels assurance maladie</v>
      </c>
      <c r="U1229" t="str">
        <f>"750064016"</f>
        <v>750064016</v>
      </c>
    </row>
    <row r="1230" spans="1:21" x14ac:dyDescent="0.3">
      <c r="A1230" t="str">
        <f>"750064172"</f>
        <v>750064172</v>
      </c>
      <c r="B1230" t="str">
        <f>"847 694 007 00018"</f>
        <v>847 694 007 00018</v>
      </c>
      <c r="D1230" t="str">
        <f>"CDS DENTAIRE LEON GIRAUD"</f>
        <v>CDS DENTAIRE LEON GIRAUD</v>
      </c>
      <c r="F1230" t="str">
        <f>"5 RUE LEON GIRAUD"</f>
        <v>5 RUE LEON GIRAUD</v>
      </c>
      <c r="H1230" t="str">
        <f>"75019"</f>
        <v>75019</v>
      </c>
      <c r="I1230" t="str">
        <f>"PARIS"</f>
        <v>PARIS</v>
      </c>
      <c r="L1230" s="1">
        <v>43794</v>
      </c>
      <c r="M1230" t="str">
        <f t="shared" si="210"/>
        <v>124</v>
      </c>
      <c r="N1230" t="str">
        <f t="shared" si="211"/>
        <v>Centre de Santé</v>
      </c>
      <c r="O1230" t="str">
        <f>"60"</f>
        <v>60</v>
      </c>
      <c r="P1230" t="str">
        <f>"Association Loi 1901 non Reconnue d'Utilité Publique"</f>
        <v>Association Loi 1901 non Reconnue d'Utilité Publique</v>
      </c>
      <c r="Q1230" t="str">
        <f t="shared" si="212"/>
        <v>36</v>
      </c>
      <c r="R1230" t="str">
        <f t="shared" si="213"/>
        <v>Tarifs conventionnels assurance maladie</v>
      </c>
      <c r="U1230" t="str">
        <f>"940025786"</f>
        <v>940025786</v>
      </c>
    </row>
    <row r="1231" spans="1:21" x14ac:dyDescent="0.3">
      <c r="A1231" t="str">
        <f>"950044701"</f>
        <v>950044701</v>
      </c>
      <c r="B1231" t="str">
        <f>"852 505 320 00022"</f>
        <v>852 505 320 00022</v>
      </c>
      <c r="D1231" t="str">
        <f>"CDS OPHTALMO PAUL VAILLANT COUTURIER"</f>
        <v>CDS OPHTALMO PAUL VAILLANT COUTURIER</v>
      </c>
      <c r="F1231" t="str">
        <f>"64 RUE PAUL VAILLANT COUTURIER"</f>
        <v>64 RUE PAUL VAILLANT COUTURIER</v>
      </c>
      <c r="H1231" t="str">
        <f>"95100"</f>
        <v>95100</v>
      </c>
      <c r="I1231" t="str">
        <f>"ARGENTEUIL"</f>
        <v>ARGENTEUIL</v>
      </c>
      <c r="J1231" t="str">
        <f>"01 81 80 77 70 "</f>
        <v xml:space="preserve">01 81 80 77 70 </v>
      </c>
      <c r="L1231" s="1">
        <v>43794</v>
      </c>
      <c r="M1231" t="str">
        <f t="shared" si="210"/>
        <v>124</v>
      </c>
      <c r="N1231" t="str">
        <f t="shared" si="211"/>
        <v>Centre de Santé</v>
      </c>
      <c r="O1231" t="str">
        <f>"95"</f>
        <v>95</v>
      </c>
      <c r="P1231" t="str">
        <f>"Société par Actions Simplifiée (S.A.S.)"</f>
        <v>Société par Actions Simplifiée (S.A.S.)</v>
      </c>
      <c r="Q1231" t="str">
        <f t="shared" si="212"/>
        <v>36</v>
      </c>
      <c r="R1231" t="str">
        <f t="shared" si="213"/>
        <v>Tarifs conventionnels assurance maladie</v>
      </c>
      <c r="U1231" t="str">
        <f>"950047068"</f>
        <v>950047068</v>
      </c>
    </row>
    <row r="1232" spans="1:21" x14ac:dyDescent="0.3">
      <c r="A1232" t="str">
        <f>"580006773"</f>
        <v>580006773</v>
      </c>
      <c r="B1232" t="str">
        <f>"775 567 761 02062"</f>
        <v>775 567 761 02062</v>
      </c>
      <c r="D1232" t="str">
        <f>"CENTRE DE SANTE POLYVALENT IMPHY"</f>
        <v>CENTRE DE SANTE POLYVALENT IMPHY</v>
      </c>
      <c r="F1232" t="str">
        <f>"2 RUE JACQUES ADENOT"</f>
        <v>2 RUE JACQUES ADENOT</v>
      </c>
      <c r="H1232" t="str">
        <f>"58160"</f>
        <v>58160</v>
      </c>
      <c r="I1232" t="str">
        <f>"IMPHY"</f>
        <v>IMPHY</v>
      </c>
      <c r="L1232" s="1">
        <v>43791</v>
      </c>
      <c r="M1232" t="str">
        <f t="shared" si="210"/>
        <v>124</v>
      </c>
      <c r="N1232" t="str">
        <f t="shared" si="211"/>
        <v>Centre de Santé</v>
      </c>
      <c r="O1232" t="str">
        <f>"47"</f>
        <v>47</v>
      </c>
      <c r="P1232" t="str">
        <f>"Société Mutualiste"</f>
        <v>Société Mutualiste</v>
      </c>
      <c r="Q1232" t="str">
        <f t="shared" si="212"/>
        <v>36</v>
      </c>
      <c r="R1232" t="str">
        <f t="shared" si="213"/>
        <v>Tarifs conventionnels assurance maladie</v>
      </c>
      <c r="U1232" t="str">
        <f>"210781266"</f>
        <v>210781266</v>
      </c>
    </row>
    <row r="1233" spans="1:21" x14ac:dyDescent="0.3">
      <c r="A1233" t="str">
        <f>"300019270"</f>
        <v>300019270</v>
      </c>
      <c r="B1233" t="str">
        <f>"813 179 793 00969"</f>
        <v>813 179 793 00969</v>
      </c>
      <c r="D1233" t="str">
        <f>"CENTRE DE SANTE DENTAIRE DE VAUVERT"</f>
        <v>CENTRE DE SANTE DENTAIRE DE VAUVERT</v>
      </c>
      <c r="E1233" t="str">
        <f>"ZAC DU SOLEIL"</f>
        <v>ZAC DU SOLEIL</v>
      </c>
      <c r="F1233" t="str">
        <f>"76 AVENUE DU MAS SAINT LAURENT"</f>
        <v>76 AVENUE DU MAS SAINT LAURENT</v>
      </c>
      <c r="G1233" t="str">
        <f>"ZAC DU SOLEIL"</f>
        <v>ZAC DU SOLEIL</v>
      </c>
      <c r="H1233" t="str">
        <f>"30600"</f>
        <v>30600</v>
      </c>
      <c r="I1233" t="str">
        <f>"VAUVERT"</f>
        <v>VAUVERT</v>
      </c>
      <c r="J1233" t="str">
        <f>"04 11 18 00 84 "</f>
        <v xml:space="preserve">04 11 18 00 84 </v>
      </c>
      <c r="L1233" s="1">
        <v>43788</v>
      </c>
      <c r="M1233" t="str">
        <f t="shared" si="210"/>
        <v>124</v>
      </c>
      <c r="N1233" t="str">
        <f t="shared" si="211"/>
        <v>Centre de Santé</v>
      </c>
      <c r="O1233" t="str">
        <f>"47"</f>
        <v>47</v>
      </c>
      <c r="P1233" t="str">
        <f>"Société Mutualiste"</f>
        <v>Société Mutualiste</v>
      </c>
      <c r="Q1233" t="str">
        <f t="shared" si="212"/>
        <v>36</v>
      </c>
      <c r="R1233" t="str">
        <f t="shared" si="213"/>
        <v>Tarifs conventionnels assurance maladie</v>
      </c>
      <c r="U1233" t="str">
        <f>"340023209"</f>
        <v>340023209</v>
      </c>
    </row>
    <row r="1234" spans="1:21" x14ac:dyDescent="0.3">
      <c r="A1234" t="str">
        <f>"090004433"</f>
        <v>090004433</v>
      </c>
      <c r="B1234" t="str">
        <f>"210 901 609 00185"</f>
        <v>210 901 609 00185</v>
      </c>
      <c r="D1234" t="str">
        <f>"CENTRE DE SANTE MEDICAL DE LAVELANET"</f>
        <v>CENTRE DE SANTE MEDICAL DE LAVELANET</v>
      </c>
      <c r="F1234" t="str">
        <f>"63 AVENUE DU DOCTEUR BERNADAC"</f>
        <v>63 AVENUE DU DOCTEUR BERNADAC</v>
      </c>
      <c r="H1234" t="str">
        <f>"09300"</f>
        <v>09300</v>
      </c>
      <c r="I1234" t="str">
        <f>"LAVELANET"</f>
        <v>LAVELANET</v>
      </c>
      <c r="J1234" t="str">
        <f>"05 61 01 53 70 "</f>
        <v xml:space="preserve">05 61 01 53 70 </v>
      </c>
      <c r="L1234" s="1">
        <v>43787</v>
      </c>
      <c r="M1234" t="str">
        <f t="shared" si="210"/>
        <v>124</v>
      </c>
      <c r="N1234" t="str">
        <f t="shared" si="211"/>
        <v>Centre de Santé</v>
      </c>
      <c r="O1234" t="str">
        <f>"03"</f>
        <v>03</v>
      </c>
      <c r="P1234" t="str">
        <f>"Commune"</f>
        <v>Commune</v>
      </c>
      <c r="Q1234" t="str">
        <f t="shared" si="212"/>
        <v>36</v>
      </c>
      <c r="R1234" t="str">
        <f t="shared" si="213"/>
        <v>Tarifs conventionnels assurance maladie</v>
      </c>
      <c r="U1234" t="str">
        <f>"090004425"</f>
        <v>090004425</v>
      </c>
    </row>
    <row r="1235" spans="1:21" x14ac:dyDescent="0.3">
      <c r="A1235" t="str">
        <f>"930029236"</f>
        <v>930029236</v>
      </c>
      <c r="B1235" t="str">
        <f>"844 885 103 00011"</f>
        <v>844 885 103 00011</v>
      </c>
      <c r="D1235" t="str">
        <f>"CDS MONTREUIL REPUBLIQUE"</f>
        <v>CDS MONTREUIL REPUBLIQUE</v>
      </c>
      <c r="F1235" t="str">
        <f>"5 RUE DE VALMY"</f>
        <v>5 RUE DE VALMY</v>
      </c>
      <c r="H1235" t="str">
        <f>"93100"</f>
        <v>93100</v>
      </c>
      <c r="I1235" t="str">
        <f>"MONTREUIL"</f>
        <v>MONTREUIL</v>
      </c>
      <c r="J1235" t="str">
        <f>"01 42 87 05 40 "</f>
        <v xml:space="preserve">01 42 87 05 40 </v>
      </c>
      <c r="L1235" s="1">
        <v>43787</v>
      </c>
      <c r="M1235" t="str">
        <f t="shared" si="210"/>
        <v>124</v>
      </c>
      <c r="N1235" t="str">
        <f t="shared" si="211"/>
        <v>Centre de Santé</v>
      </c>
      <c r="O1235" t="str">
        <f>"60"</f>
        <v>60</v>
      </c>
      <c r="P1235" t="str">
        <f>"Association Loi 1901 non Reconnue d'Utilité Publique"</f>
        <v>Association Loi 1901 non Reconnue d'Utilité Publique</v>
      </c>
      <c r="Q1235" t="str">
        <f t="shared" si="212"/>
        <v>36</v>
      </c>
      <c r="R1235" t="str">
        <f t="shared" si="213"/>
        <v>Tarifs conventionnels assurance maladie</v>
      </c>
      <c r="U1235" t="str">
        <f>"930029202"</f>
        <v>930029202</v>
      </c>
    </row>
    <row r="1236" spans="1:21" x14ac:dyDescent="0.3">
      <c r="A1236" t="str">
        <f>"930029251"</f>
        <v>930029251</v>
      </c>
      <c r="B1236" t="str">
        <f>"842 825 424 00018"</f>
        <v>842 825 424 00018</v>
      </c>
      <c r="D1236" t="str">
        <f>"CDS MEDICO-DENTAIRE SAINT-DENIS"</f>
        <v>CDS MEDICO-DENTAIRE SAINT-DENIS</v>
      </c>
      <c r="E1236" t="str">
        <f>"85-87"</f>
        <v>85-87</v>
      </c>
      <c r="F1236" t="str">
        <f>"85 RUE DE STRASBOURG"</f>
        <v>85 RUE DE STRASBOURG</v>
      </c>
      <c r="H1236" t="str">
        <f>"93200"</f>
        <v>93200</v>
      </c>
      <c r="I1236" t="str">
        <f>"ST DENIS"</f>
        <v>ST DENIS</v>
      </c>
      <c r="J1236" t="str">
        <f>"01 42 00 20 20 "</f>
        <v xml:space="preserve">01 42 00 20 20 </v>
      </c>
      <c r="L1236" s="1">
        <v>43787</v>
      </c>
      <c r="M1236" t="str">
        <f t="shared" si="210"/>
        <v>124</v>
      </c>
      <c r="N1236" t="str">
        <f t="shared" si="211"/>
        <v>Centre de Santé</v>
      </c>
      <c r="O1236" t="str">
        <f>"60"</f>
        <v>60</v>
      </c>
      <c r="P1236" t="str">
        <f>"Association Loi 1901 non Reconnue d'Utilité Publique"</f>
        <v>Association Loi 1901 non Reconnue d'Utilité Publique</v>
      </c>
      <c r="Q1236" t="str">
        <f t="shared" si="212"/>
        <v>36</v>
      </c>
      <c r="R1236" t="str">
        <f t="shared" si="213"/>
        <v>Tarifs conventionnels assurance maladie</v>
      </c>
      <c r="U1236" t="str">
        <f>"750064008"</f>
        <v>750064008</v>
      </c>
    </row>
    <row r="1237" spans="1:21" x14ac:dyDescent="0.3">
      <c r="A1237" t="str">
        <f>"920035045"</f>
        <v>920035045</v>
      </c>
      <c r="B1237" t="str">
        <f>"851 631 101 00017"</f>
        <v>851 631 101 00017</v>
      </c>
      <c r="D1237" t="str">
        <f>"CDS DENTIMAD SEVRES"</f>
        <v>CDS DENTIMAD SEVRES</v>
      </c>
      <c r="F1237" t="str">
        <f>"10 AVENUE DE L'EUROPE"</f>
        <v>10 AVENUE DE L'EUROPE</v>
      </c>
      <c r="H1237" t="str">
        <f>"92310"</f>
        <v>92310</v>
      </c>
      <c r="I1237" t="str">
        <f>"SEVRES"</f>
        <v>SEVRES</v>
      </c>
      <c r="L1237" s="1">
        <v>43783</v>
      </c>
      <c r="M1237" t="str">
        <f t="shared" si="210"/>
        <v>124</v>
      </c>
      <c r="N1237" t="str">
        <f t="shared" si="211"/>
        <v>Centre de Santé</v>
      </c>
      <c r="O1237" t="str">
        <f>"60"</f>
        <v>60</v>
      </c>
      <c r="P1237" t="str">
        <f>"Association Loi 1901 non Reconnue d'Utilité Publique"</f>
        <v>Association Loi 1901 non Reconnue d'Utilité Publique</v>
      </c>
      <c r="Q1237" t="str">
        <f t="shared" si="212"/>
        <v>36</v>
      </c>
      <c r="R1237" t="str">
        <f t="shared" si="213"/>
        <v>Tarifs conventionnels assurance maladie</v>
      </c>
      <c r="U1237" t="str">
        <f>"920034832"</f>
        <v>920034832</v>
      </c>
    </row>
    <row r="1238" spans="1:21" x14ac:dyDescent="0.3">
      <c r="A1238" t="str">
        <f>"410010680"</f>
        <v>410010680</v>
      </c>
      <c r="B1238" t="str">
        <f>"877 765 636 00015"</f>
        <v>877 765 636 00015</v>
      </c>
      <c r="D1238" t="str">
        <f>"SANTEA BLOIS"</f>
        <v>SANTEA BLOIS</v>
      </c>
      <c r="F1238" t="str">
        <f>"7 RUE DES CORDERIES"</f>
        <v>7 RUE DES CORDERIES</v>
      </c>
      <c r="H1238" t="str">
        <f>"41000"</f>
        <v>41000</v>
      </c>
      <c r="I1238" t="str">
        <f>"BLOIS"</f>
        <v>BLOIS</v>
      </c>
      <c r="J1238" t="str">
        <f>"02 42 44 00 09 "</f>
        <v xml:space="preserve">02 42 44 00 09 </v>
      </c>
      <c r="L1238" s="1">
        <v>43781</v>
      </c>
      <c r="M1238" t="str">
        <f t="shared" si="210"/>
        <v>124</v>
      </c>
      <c r="N1238" t="str">
        <f t="shared" si="211"/>
        <v>Centre de Santé</v>
      </c>
      <c r="O1238" t="str">
        <f>"61"</f>
        <v>61</v>
      </c>
      <c r="P1238" t="str">
        <f>"Association Loi 1901 Reconnue d'Utilité Publique"</f>
        <v>Association Loi 1901 Reconnue d'Utilité Publique</v>
      </c>
      <c r="Q1238" t="str">
        <f>"99"</f>
        <v>99</v>
      </c>
      <c r="R1238" t="str">
        <f>"Indéterminé"</f>
        <v>Indéterminé</v>
      </c>
      <c r="U1238" t="str">
        <f>"410010672"</f>
        <v>410010672</v>
      </c>
    </row>
    <row r="1239" spans="1:21" x14ac:dyDescent="0.3">
      <c r="A1239" t="str">
        <f>"610008922"</f>
        <v>610008922</v>
      </c>
      <c r="B1239" t="str">
        <f>"216 100 016 00403"</f>
        <v>216 100 016 00403</v>
      </c>
      <c r="D1239" t="str">
        <f>"CENTRE MUNICIPAL DE SANTÉ D'ALENÇON"</f>
        <v>CENTRE MUNICIPAL DE SANTÉ D'ALENÇON</v>
      </c>
      <c r="F1239" t="str">
        <f>"22 RUE DE VICQUES"</f>
        <v>22 RUE DE VICQUES</v>
      </c>
      <c r="H1239" t="str">
        <f>"61000"</f>
        <v>61000</v>
      </c>
      <c r="I1239" t="str">
        <f>"ALENCON"</f>
        <v>ALENCON</v>
      </c>
      <c r="L1239" s="1">
        <v>43781</v>
      </c>
      <c r="M1239" t="str">
        <f t="shared" si="210"/>
        <v>124</v>
      </c>
      <c r="N1239" t="str">
        <f t="shared" si="211"/>
        <v>Centre de Santé</v>
      </c>
      <c r="O1239" t="str">
        <f>"26"</f>
        <v>26</v>
      </c>
      <c r="P1239" t="str">
        <f>"Autre Etablissement Public à Caractère Administratif"</f>
        <v>Autre Etablissement Public à Caractère Administratif</v>
      </c>
      <c r="Q1239" t="str">
        <f t="shared" ref="Q1239:Q1270" si="214">"36"</f>
        <v>36</v>
      </c>
      <c r="R1239" t="str">
        <f t="shared" ref="R1239:R1270" si="215">"Tarifs conventionnels assurance maladie"</f>
        <v>Tarifs conventionnels assurance maladie</v>
      </c>
      <c r="U1239" t="str">
        <f>"610008914"</f>
        <v>610008914</v>
      </c>
    </row>
    <row r="1240" spans="1:21" x14ac:dyDescent="0.3">
      <c r="A1240" t="str">
        <f>"770022853"</f>
        <v>770022853</v>
      </c>
      <c r="B1240" t="str">
        <f>"849 810 577 00015"</f>
        <v>849 810 577 00015</v>
      </c>
      <c r="D1240" t="str">
        <f>"CDS DE CANNES ECLUSE"</f>
        <v>CDS DE CANNES ECLUSE</v>
      </c>
      <c r="F1240" t="str">
        <f>"75 RUE DESIRE THOISON"</f>
        <v>75 RUE DESIRE THOISON</v>
      </c>
      <c r="H1240" t="str">
        <f>"77130"</f>
        <v>77130</v>
      </c>
      <c r="I1240" t="str">
        <f>"CANNES ECLUSE"</f>
        <v>CANNES ECLUSE</v>
      </c>
      <c r="L1240" s="1">
        <v>43781</v>
      </c>
      <c r="M1240" t="str">
        <f t="shared" si="210"/>
        <v>124</v>
      </c>
      <c r="N1240" t="str">
        <f t="shared" si="211"/>
        <v>Centre de Santé</v>
      </c>
      <c r="O1240" t="str">
        <f>"60"</f>
        <v>60</v>
      </c>
      <c r="P1240" t="str">
        <f>"Association Loi 1901 non Reconnue d'Utilité Publique"</f>
        <v>Association Loi 1901 non Reconnue d'Utilité Publique</v>
      </c>
      <c r="Q1240" t="str">
        <f t="shared" si="214"/>
        <v>36</v>
      </c>
      <c r="R1240" t="str">
        <f t="shared" si="215"/>
        <v>Tarifs conventionnels assurance maladie</v>
      </c>
      <c r="U1240" t="str">
        <f>"770022838"</f>
        <v>770022838</v>
      </c>
    </row>
    <row r="1241" spans="1:21" x14ac:dyDescent="0.3">
      <c r="A1241" t="str">
        <f>"770023141"</f>
        <v>770023141</v>
      </c>
      <c r="B1241" t="str">
        <f>"851 747 675 00011"</f>
        <v>851 747 675 00011</v>
      </c>
      <c r="D1241" t="str">
        <f>"CDS DENTAIRE SAMOIS"</f>
        <v>CDS DENTAIRE SAMOIS</v>
      </c>
      <c r="F1241" t="str">
        <f>"41 RUE DES MARTYRS"</f>
        <v>41 RUE DES MARTYRS</v>
      </c>
      <c r="H1241" t="str">
        <f>"77920"</f>
        <v>77920</v>
      </c>
      <c r="I1241" t="str">
        <f>"SAMOIS SUR SEINE"</f>
        <v>SAMOIS SUR SEINE</v>
      </c>
      <c r="L1241" s="1">
        <v>43776</v>
      </c>
      <c r="M1241" t="str">
        <f t="shared" si="210"/>
        <v>124</v>
      </c>
      <c r="N1241" t="str">
        <f t="shared" si="211"/>
        <v>Centre de Santé</v>
      </c>
      <c r="O1241" t="str">
        <f>"60"</f>
        <v>60</v>
      </c>
      <c r="P1241" t="str">
        <f>"Association Loi 1901 non Reconnue d'Utilité Publique"</f>
        <v>Association Loi 1901 non Reconnue d'Utilité Publique</v>
      </c>
      <c r="Q1241" t="str">
        <f t="shared" si="214"/>
        <v>36</v>
      </c>
      <c r="R1241" t="str">
        <f t="shared" si="215"/>
        <v>Tarifs conventionnels assurance maladie</v>
      </c>
      <c r="U1241" t="str">
        <f>"770023018"</f>
        <v>770023018</v>
      </c>
    </row>
    <row r="1242" spans="1:21" x14ac:dyDescent="0.3">
      <c r="A1242" t="str">
        <f>"750064107"</f>
        <v>750064107</v>
      </c>
      <c r="B1242" t="str">
        <f>"842 803 835 00011"</f>
        <v>842 803 835 00011</v>
      </c>
      <c r="D1242" t="str">
        <f>"CDS VICTOR MASSE"</f>
        <v>CDS VICTOR MASSE</v>
      </c>
      <c r="F1242" t="str">
        <f>"21 RUE VICTOR MASSE"</f>
        <v>21 RUE VICTOR MASSE</v>
      </c>
      <c r="H1242" t="str">
        <f>"75009"</f>
        <v>75009</v>
      </c>
      <c r="I1242" t="str">
        <f>"PARIS"</f>
        <v>PARIS</v>
      </c>
      <c r="J1242" t="str">
        <f>"01 45 26 92 21 "</f>
        <v xml:space="preserve">01 45 26 92 21 </v>
      </c>
      <c r="L1242" s="1">
        <v>43770</v>
      </c>
      <c r="M1242" t="str">
        <f t="shared" si="210"/>
        <v>124</v>
      </c>
      <c r="N1242" t="str">
        <f t="shared" si="211"/>
        <v>Centre de Santé</v>
      </c>
      <c r="O1242" t="str">
        <f>"60"</f>
        <v>60</v>
      </c>
      <c r="P1242" t="str">
        <f>"Association Loi 1901 non Reconnue d'Utilité Publique"</f>
        <v>Association Loi 1901 non Reconnue d'Utilité Publique</v>
      </c>
      <c r="Q1242" t="str">
        <f t="shared" si="214"/>
        <v>36</v>
      </c>
      <c r="R1242" t="str">
        <f t="shared" si="215"/>
        <v>Tarifs conventionnels assurance maladie</v>
      </c>
      <c r="U1242" t="str">
        <f>"750064032"</f>
        <v>750064032</v>
      </c>
    </row>
    <row r="1243" spans="1:21" x14ac:dyDescent="0.3">
      <c r="A1243" t="str">
        <f>"910023456"</f>
        <v>910023456</v>
      </c>
      <c r="D1243" t="str">
        <f>"CDS DENTAIRE VIGNEUX"</f>
        <v>CDS DENTAIRE VIGNEUX</v>
      </c>
      <c r="F1243" t="str">
        <f>"3 AVENUE DU PRESIDENT ROBERT LAKOTA"</f>
        <v>3 AVENUE DU PRESIDENT ROBERT LAKOTA</v>
      </c>
      <c r="H1243" t="str">
        <f>"91270"</f>
        <v>91270</v>
      </c>
      <c r="I1243" t="str">
        <f>"VIGNEUX SUR SEINE"</f>
        <v>VIGNEUX SUR SEINE</v>
      </c>
      <c r="L1243" s="1">
        <v>43766</v>
      </c>
      <c r="M1243" t="str">
        <f t="shared" si="210"/>
        <v>124</v>
      </c>
      <c r="N1243" t="str">
        <f t="shared" si="211"/>
        <v>Centre de Santé</v>
      </c>
      <c r="O1243" t="str">
        <f>"60"</f>
        <v>60</v>
      </c>
      <c r="P1243" t="str">
        <f>"Association Loi 1901 non Reconnue d'Utilité Publique"</f>
        <v>Association Loi 1901 non Reconnue d'Utilité Publique</v>
      </c>
      <c r="Q1243" t="str">
        <f t="shared" si="214"/>
        <v>36</v>
      </c>
      <c r="R1243" t="str">
        <f t="shared" si="215"/>
        <v>Tarifs conventionnels assurance maladie</v>
      </c>
      <c r="U1243" t="str">
        <f>"940025703"</f>
        <v>940025703</v>
      </c>
    </row>
    <row r="1244" spans="1:21" x14ac:dyDescent="0.3">
      <c r="A1244" t="str">
        <f>"930029103"</f>
        <v>930029103</v>
      </c>
      <c r="B1244" t="str">
        <f>"849 870 050 00010"</f>
        <v>849 870 050 00010</v>
      </c>
      <c r="D1244" t="str">
        <f>"CDS DENTAIRE MONTREUIL BOISSIERE"</f>
        <v>CDS DENTAIRE MONTREUIL BOISSIERE</v>
      </c>
      <c r="F1244" t="str">
        <f>"244 RUE DE ROMAINVILLE"</f>
        <v>244 RUE DE ROMAINVILLE</v>
      </c>
      <c r="H1244" t="str">
        <f>"93100"</f>
        <v>93100</v>
      </c>
      <c r="I1244" t="str">
        <f>"MONTREUIL"</f>
        <v>MONTREUIL</v>
      </c>
      <c r="L1244" s="1">
        <v>43766</v>
      </c>
      <c r="M1244" t="str">
        <f t="shared" si="210"/>
        <v>124</v>
      </c>
      <c r="N1244" t="str">
        <f t="shared" si="211"/>
        <v>Centre de Santé</v>
      </c>
      <c r="O1244" t="str">
        <f>"60"</f>
        <v>60</v>
      </c>
      <c r="P1244" t="str">
        <f>"Association Loi 1901 non Reconnue d'Utilité Publique"</f>
        <v>Association Loi 1901 non Reconnue d'Utilité Publique</v>
      </c>
      <c r="Q1244" t="str">
        <f t="shared" si="214"/>
        <v>36</v>
      </c>
      <c r="R1244" t="str">
        <f t="shared" si="215"/>
        <v>Tarifs conventionnels assurance maladie</v>
      </c>
      <c r="U1244" t="str">
        <f>"930029053"</f>
        <v>930029053</v>
      </c>
    </row>
    <row r="1245" spans="1:21" x14ac:dyDescent="0.3">
      <c r="A1245" t="str">
        <f>"600014849"</f>
        <v>600014849</v>
      </c>
      <c r="B1245" t="str">
        <f>"849 831 649 00017"</f>
        <v>849 831 649 00017</v>
      </c>
      <c r="D1245" t="str">
        <f>"CSM DU VALOIS"</f>
        <v>CSM DU VALOIS</v>
      </c>
      <c r="F1245" t="str">
        <f>"20 AVENUE DE SENLIS"</f>
        <v>20 AVENUE DE SENLIS</v>
      </c>
      <c r="H1245" t="str">
        <f>"60800"</f>
        <v>60800</v>
      </c>
      <c r="I1245" t="str">
        <f>"CREPY EN VALOIS"</f>
        <v>CREPY EN VALOIS</v>
      </c>
      <c r="J1245" t="str">
        <f>"03 44 87 11 33 "</f>
        <v xml:space="preserve">03 44 87 11 33 </v>
      </c>
      <c r="L1245" s="1">
        <v>43763</v>
      </c>
      <c r="M1245" t="str">
        <f t="shared" si="210"/>
        <v>124</v>
      </c>
      <c r="N1245" t="str">
        <f t="shared" si="211"/>
        <v>Centre de Santé</v>
      </c>
      <c r="O1245" t="str">
        <f>"61"</f>
        <v>61</v>
      </c>
      <c r="P1245" t="str">
        <f>"Association Loi 1901 Reconnue d'Utilité Publique"</f>
        <v>Association Loi 1901 Reconnue d'Utilité Publique</v>
      </c>
      <c r="Q1245" t="str">
        <f t="shared" si="214"/>
        <v>36</v>
      </c>
      <c r="R1245" t="str">
        <f t="shared" si="215"/>
        <v>Tarifs conventionnels assurance maladie</v>
      </c>
      <c r="U1245" t="str">
        <f>"600014831"</f>
        <v>600014831</v>
      </c>
    </row>
    <row r="1246" spans="1:21" x14ac:dyDescent="0.3">
      <c r="A1246" t="str">
        <f>"330060666"</f>
        <v>330060666</v>
      </c>
      <c r="B1246" t="str">
        <f>"853 379 873 00013"</f>
        <v>853 379 873 00013</v>
      </c>
      <c r="D1246" t="str">
        <f>"CDS DU PAYS FOYEN"</f>
        <v>CDS DU PAYS FOYEN</v>
      </c>
      <c r="F1246" t="str">
        <f>"30 COURS DE VERDUN"</f>
        <v>30 COURS DE VERDUN</v>
      </c>
      <c r="H1246" t="str">
        <f>"33220"</f>
        <v>33220</v>
      </c>
      <c r="I1246" t="str">
        <f>"STE FOY LA GRANDE"</f>
        <v>STE FOY LA GRANDE</v>
      </c>
      <c r="J1246" t="str">
        <f>"05 54 19 00 50 "</f>
        <v xml:space="preserve">05 54 19 00 50 </v>
      </c>
      <c r="L1246" s="1">
        <v>43762</v>
      </c>
      <c r="M1246" t="str">
        <f t="shared" si="210"/>
        <v>124</v>
      </c>
      <c r="N1246" t="str">
        <f t="shared" si="211"/>
        <v>Centre de Santé</v>
      </c>
      <c r="O1246" t="str">
        <f>"60"</f>
        <v>60</v>
      </c>
      <c r="P1246" t="str">
        <f>"Association Loi 1901 non Reconnue d'Utilité Publique"</f>
        <v>Association Loi 1901 non Reconnue d'Utilité Publique</v>
      </c>
      <c r="Q1246" t="str">
        <f t="shared" si="214"/>
        <v>36</v>
      </c>
      <c r="R1246" t="str">
        <f t="shared" si="215"/>
        <v>Tarifs conventionnels assurance maladie</v>
      </c>
      <c r="U1246" t="str">
        <f>"330060864"</f>
        <v>330060864</v>
      </c>
    </row>
    <row r="1247" spans="1:21" x14ac:dyDescent="0.3">
      <c r="A1247" t="str">
        <f>"890010028"</f>
        <v>890010028</v>
      </c>
      <c r="B1247" t="str">
        <f>"775 567 761 01999"</f>
        <v>775 567 761 01999</v>
      </c>
      <c r="D1247" t="str">
        <f>"CENTRE DE SANTE DENTAIRE"</f>
        <v>CENTRE DE SANTE DENTAIRE</v>
      </c>
      <c r="F1247" t="str">
        <f>"10 RUE CHARLES FOUCAULT"</f>
        <v>10 RUE CHARLES FOUCAULT</v>
      </c>
      <c r="H1247" t="str">
        <f>"89000"</f>
        <v>89000</v>
      </c>
      <c r="I1247" t="str">
        <f>"AUXERRE"</f>
        <v>AUXERRE</v>
      </c>
      <c r="L1247" s="1">
        <v>43762</v>
      </c>
      <c r="M1247" t="str">
        <f t="shared" si="210"/>
        <v>124</v>
      </c>
      <c r="N1247" t="str">
        <f t="shared" si="211"/>
        <v>Centre de Santé</v>
      </c>
      <c r="O1247" t="str">
        <f>"47"</f>
        <v>47</v>
      </c>
      <c r="P1247" t="str">
        <f>"Société Mutualiste"</f>
        <v>Société Mutualiste</v>
      </c>
      <c r="Q1247" t="str">
        <f t="shared" si="214"/>
        <v>36</v>
      </c>
      <c r="R1247" t="str">
        <f t="shared" si="215"/>
        <v>Tarifs conventionnels assurance maladie</v>
      </c>
      <c r="U1247" t="str">
        <f>"210781266"</f>
        <v>210781266</v>
      </c>
    </row>
    <row r="1248" spans="1:21" x14ac:dyDescent="0.3">
      <c r="A1248" t="str">
        <f>"760038059"</f>
        <v>760038059</v>
      </c>
      <c r="B1248" t="str">
        <f>"834 027 575 00010"</f>
        <v>834 027 575 00010</v>
      </c>
      <c r="D1248" t="str">
        <f>"CTRE DE SANTE ALADENT - BOIS GUILLAUME"</f>
        <v>CTRE DE SANTE ALADENT - BOIS GUILLAUME</v>
      </c>
      <c r="F1248" t="str">
        <f>"181 RUE JEAN MERMOZ"</f>
        <v>181 RUE JEAN MERMOZ</v>
      </c>
      <c r="H1248" t="str">
        <f>"76230"</f>
        <v>76230</v>
      </c>
      <c r="I1248" t="str">
        <f>"BOIS GUILLAUME"</f>
        <v>BOIS GUILLAUME</v>
      </c>
      <c r="J1248" t="str">
        <f>"02 35 61 00 77 "</f>
        <v xml:space="preserve">02 35 61 00 77 </v>
      </c>
      <c r="L1248" s="1">
        <v>43754</v>
      </c>
      <c r="M1248" t="str">
        <f t="shared" si="210"/>
        <v>124</v>
      </c>
      <c r="N1248" t="str">
        <f t="shared" si="211"/>
        <v>Centre de Santé</v>
      </c>
      <c r="O1248" t="str">
        <f>"60"</f>
        <v>60</v>
      </c>
      <c r="P1248" t="str">
        <f>"Association Loi 1901 non Reconnue d'Utilité Publique"</f>
        <v>Association Loi 1901 non Reconnue d'Utilité Publique</v>
      </c>
      <c r="Q1248" t="str">
        <f t="shared" si="214"/>
        <v>36</v>
      </c>
      <c r="R1248" t="str">
        <f t="shared" si="215"/>
        <v>Tarifs conventionnels assurance maladie</v>
      </c>
      <c r="U1248" t="str">
        <f>"760037184"</f>
        <v>760037184</v>
      </c>
    </row>
    <row r="1249" spans="1:21" x14ac:dyDescent="0.3">
      <c r="A1249" t="str">
        <f>"350054490"</f>
        <v>350054490</v>
      </c>
      <c r="D1249" t="str">
        <f>"CDS MED. ADMR DE PIPRIAC"</f>
        <v>CDS MED. ADMR DE PIPRIAC</v>
      </c>
      <c r="F1249" t="str">
        <f>"44 RUE DU GENERAL DE GAULLE"</f>
        <v>44 RUE DU GENERAL DE GAULLE</v>
      </c>
      <c r="H1249" t="str">
        <f>"35550"</f>
        <v>35550</v>
      </c>
      <c r="I1249" t="str">
        <f>"PIPRIAC"</f>
        <v>PIPRIAC</v>
      </c>
      <c r="J1249" t="str">
        <f>"02 99 34 45 44 "</f>
        <v xml:space="preserve">02 99 34 45 44 </v>
      </c>
      <c r="L1249" s="1">
        <v>43753</v>
      </c>
      <c r="M1249" t="str">
        <f t="shared" si="210"/>
        <v>124</v>
      </c>
      <c r="N1249" t="str">
        <f t="shared" si="211"/>
        <v>Centre de Santé</v>
      </c>
      <c r="O1249" t="str">
        <f>"60"</f>
        <v>60</v>
      </c>
      <c r="P1249" t="str">
        <f>"Association Loi 1901 non Reconnue d'Utilité Publique"</f>
        <v>Association Loi 1901 non Reconnue d'Utilité Publique</v>
      </c>
      <c r="Q1249" t="str">
        <f t="shared" si="214"/>
        <v>36</v>
      </c>
      <c r="R1249" t="str">
        <f t="shared" si="215"/>
        <v>Tarifs conventionnels assurance maladie</v>
      </c>
      <c r="U1249" t="str">
        <f>"350000659"</f>
        <v>350000659</v>
      </c>
    </row>
    <row r="1250" spans="1:21" x14ac:dyDescent="0.3">
      <c r="A1250" t="str">
        <f>"590062634"</f>
        <v>590062634</v>
      </c>
      <c r="B1250" t="str">
        <f>"909 835 597 00032"</f>
        <v>909 835 597 00032</v>
      </c>
      <c r="D1250" t="str">
        <f>"CSMD LILLE"</f>
        <v>CSMD LILLE</v>
      </c>
      <c r="F1250" t="str">
        <f>"24 RUE DU MOLINEL"</f>
        <v>24 RUE DU MOLINEL</v>
      </c>
      <c r="H1250" t="str">
        <f>"59000"</f>
        <v>59000</v>
      </c>
      <c r="I1250" t="str">
        <f>"LILLE"</f>
        <v>LILLE</v>
      </c>
      <c r="J1250" t="str">
        <f>"03 20 04 16 16 "</f>
        <v xml:space="preserve">03 20 04 16 16 </v>
      </c>
      <c r="L1250" s="1">
        <v>43753</v>
      </c>
      <c r="M1250" t="str">
        <f t="shared" si="210"/>
        <v>124</v>
      </c>
      <c r="N1250" t="str">
        <f t="shared" si="211"/>
        <v>Centre de Santé</v>
      </c>
      <c r="O1250" t="str">
        <f>"60"</f>
        <v>60</v>
      </c>
      <c r="P1250" t="str">
        <f>"Association Loi 1901 non Reconnue d'Utilité Publique"</f>
        <v>Association Loi 1901 non Reconnue d'Utilité Publique</v>
      </c>
      <c r="Q1250" t="str">
        <f t="shared" si="214"/>
        <v>36</v>
      </c>
      <c r="R1250" t="str">
        <f t="shared" si="215"/>
        <v>Tarifs conventionnels assurance maladie</v>
      </c>
      <c r="U1250" t="str">
        <f>"940030281"</f>
        <v>940030281</v>
      </c>
    </row>
    <row r="1251" spans="1:21" x14ac:dyDescent="0.3">
      <c r="A1251" t="str">
        <f>"160016457"</f>
        <v>160016457</v>
      </c>
      <c r="B1251" t="str">
        <f>"323 399 295 00050"</f>
        <v>323 399 295 00050</v>
      </c>
      <c r="D1251" t="str">
        <f>"CDS POLYVALENT CENTRE CLINICAL"</f>
        <v>CDS POLYVALENT CENTRE CLINICAL</v>
      </c>
      <c r="F1251" t="str">
        <f>"2 CHEMIN DE FREGENEUIL"</f>
        <v>2 CHEMIN DE FREGENEUIL</v>
      </c>
      <c r="H1251" t="str">
        <f>"16800"</f>
        <v>16800</v>
      </c>
      <c r="I1251" t="str">
        <f>"SOYAUX"</f>
        <v>SOYAUX</v>
      </c>
      <c r="J1251" t="str">
        <f>"05 49 97 88 00 "</f>
        <v xml:space="preserve">05 49 97 88 00 </v>
      </c>
      <c r="L1251" s="1">
        <v>43752</v>
      </c>
      <c r="M1251" t="str">
        <f t="shared" si="210"/>
        <v>124</v>
      </c>
      <c r="N1251" t="str">
        <f t="shared" si="211"/>
        <v>Centre de Santé</v>
      </c>
      <c r="O1251" t="str">
        <f>"73"</f>
        <v>73</v>
      </c>
      <c r="P1251" t="str">
        <f>"Société Anonyme (S.A.)"</f>
        <v>Société Anonyme (S.A.)</v>
      </c>
      <c r="Q1251" t="str">
        <f t="shared" si="214"/>
        <v>36</v>
      </c>
      <c r="R1251" t="str">
        <f t="shared" si="215"/>
        <v>Tarifs conventionnels assurance maladie</v>
      </c>
      <c r="U1251" t="str">
        <f>"160001632"</f>
        <v>160001632</v>
      </c>
    </row>
    <row r="1252" spans="1:21" x14ac:dyDescent="0.3">
      <c r="A1252" t="str">
        <f>"770022861"</f>
        <v>770022861</v>
      </c>
      <c r="D1252" t="str">
        <f>"CMS DU MESNIL AMELOT"</f>
        <v>CMS DU MESNIL AMELOT</v>
      </c>
      <c r="F1252" t="str">
        <f>"30 RUE DE CLAYE"</f>
        <v>30 RUE DE CLAYE</v>
      </c>
      <c r="H1252" t="str">
        <f>"77990"</f>
        <v>77990</v>
      </c>
      <c r="I1252" t="str">
        <f>"LE MESNIL AMELOT"</f>
        <v>LE MESNIL AMELOT</v>
      </c>
      <c r="L1252" s="1">
        <v>43752</v>
      </c>
      <c r="M1252" t="str">
        <f t="shared" si="210"/>
        <v>124</v>
      </c>
      <c r="N1252" t="str">
        <f t="shared" si="211"/>
        <v>Centre de Santé</v>
      </c>
      <c r="O1252" t="str">
        <f>"03"</f>
        <v>03</v>
      </c>
      <c r="P1252" t="str">
        <f>"Commune"</f>
        <v>Commune</v>
      </c>
      <c r="Q1252" t="str">
        <f t="shared" si="214"/>
        <v>36</v>
      </c>
      <c r="R1252" t="str">
        <f t="shared" si="215"/>
        <v>Tarifs conventionnels assurance maladie</v>
      </c>
      <c r="U1252" t="str">
        <f>"770022846"</f>
        <v>770022846</v>
      </c>
    </row>
    <row r="1253" spans="1:21" x14ac:dyDescent="0.3">
      <c r="A1253" t="str">
        <f>"930029046"</f>
        <v>930029046</v>
      </c>
      <c r="B1253" t="str">
        <f>"849 527 312 00011"</f>
        <v>849 527 312 00011</v>
      </c>
      <c r="D1253" t="str">
        <f>"CDS DENTAIRE ELISE AUBERVILLIERS"</f>
        <v>CDS DENTAIRE ELISE AUBERVILLIERS</v>
      </c>
      <c r="F1253" t="str">
        <f>"197 AVENUE VICTOR HUGO"</f>
        <v>197 AVENUE VICTOR HUGO</v>
      </c>
      <c r="H1253" t="str">
        <f>"93300"</f>
        <v>93300</v>
      </c>
      <c r="I1253" t="str">
        <f>"AUBERVILLIERS"</f>
        <v>AUBERVILLIERS</v>
      </c>
      <c r="L1253" s="1">
        <v>43752</v>
      </c>
      <c r="M1253" t="str">
        <f t="shared" si="210"/>
        <v>124</v>
      </c>
      <c r="N1253" t="str">
        <f t="shared" si="211"/>
        <v>Centre de Santé</v>
      </c>
      <c r="O1253" t="str">
        <f>"60"</f>
        <v>60</v>
      </c>
      <c r="P1253" t="str">
        <f>"Association Loi 1901 non Reconnue d'Utilité Publique"</f>
        <v>Association Loi 1901 non Reconnue d'Utilité Publique</v>
      </c>
      <c r="Q1253" t="str">
        <f t="shared" si="214"/>
        <v>36</v>
      </c>
      <c r="R1253" t="str">
        <f t="shared" si="215"/>
        <v>Tarifs conventionnels assurance maladie</v>
      </c>
      <c r="U1253" t="str">
        <f>"930028998"</f>
        <v>930028998</v>
      </c>
    </row>
    <row r="1254" spans="1:21" x14ac:dyDescent="0.3">
      <c r="A1254" t="str">
        <f>"930029145"</f>
        <v>930029145</v>
      </c>
      <c r="B1254" t="str">
        <f>"830 073 276 00172"</f>
        <v>830 073 276 00172</v>
      </c>
      <c r="D1254" t="str">
        <f>"CDS ROSNY SOUS BOIS"</f>
        <v>CDS ROSNY SOUS BOIS</v>
      </c>
      <c r="F1254" t="str">
        <f>"30 RUE DU GENERAL GALLIENI"</f>
        <v>30 RUE DU GENERAL GALLIENI</v>
      </c>
      <c r="H1254" t="str">
        <f>"93110"</f>
        <v>93110</v>
      </c>
      <c r="I1254" t="str">
        <f>"ROSNY SOUS BOIS"</f>
        <v>ROSNY SOUS BOIS</v>
      </c>
      <c r="J1254" t="str">
        <f>"01 86 90 34 33 "</f>
        <v xml:space="preserve">01 86 90 34 33 </v>
      </c>
      <c r="L1254" s="1">
        <v>43745</v>
      </c>
      <c r="M1254" t="str">
        <f t="shared" si="210"/>
        <v>124</v>
      </c>
      <c r="N1254" t="str">
        <f t="shared" si="211"/>
        <v>Centre de Santé</v>
      </c>
      <c r="O1254" t="str">
        <f>"60"</f>
        <v>60</v>
      </c>
      <c r="P1254" t="str">
        <f>"Association Loi 1901 non Reconnue d'Utilité Publique"</f>
        <v>Association Loi 1901 non Reconnue d'Utilité Publique</v>
      </c>
      <c r="Q1254" t="str">
        <f t="shared" si="214"/>
        <v>36</v>
      </c>
      <c r="R1254" t="str">
        <f t="shared" si="215"/>
        <v>Tarifs conventionnels assurance maladie</v>
      </c>
      <c r="U1254" t="str">
        <f>"750060345"</f>
        <v>750060345</v>
      </c>
    </row>
    <row r="1255" spans="1:21" x14ac:dyDescent="0.3">
      <c r="A1255" t="str">
        <f>"720021955"</f>
        <v>720021955</v>
      </c>
      <c r="D1255" t="str">
        <f>"CENTRE DE SANTE DE FYE"</f>
        <v>CENTRE DE SANTE DE FYE</v>
      </c>
      <c r="F1255" t="str">
        <f>"10 RUE CHARLES PERRAULT"</f>
        <v>10 RUE CHARLES PERRAULT</v>
      </c>
      <c r="H1255" t="str">
        <f>"72610"</f>
        <v>72610</v>
      </c>
      <c r="I1255" t="str">
        <f>"FYE"</f>
        <v>FYE</v>
      </c>
      <c r="J1255" t="str">
        <f>"02 43 34 34 59 "</f>
        <v xml:space="preserve">02 43 34 34 59 </v>
      </c>
      <c r="L1255" s="1">
        <v>43740</v>
      </c>
      <c r="M1255" t="str">
        <f t="shared" si="210"/>
        <v>124</v>
      </c>
      <c r="N1255" t="str">
        <f t="shared" si="211"/>
        <v>Centre de Santé</v>
      </c>
      <c r="O1255" t="str">
        <f>"26"</f>
        <v>26</v>
      </c>
      <c r="P1255" t="str">
        <f>"Autre Etablissement Public à Caractère Administratif"</f>
        <v>Autre Etablissement Public à Caractère Administratif</v>
      </c>
      <c r="Q1255" t="str">
        <f t="shared" si="214"/>
        <v>36</v>
      </c>
      <c r="R1255" t="str">
        <f t="shared" si="215"/>
        <v>Tarifs conventionnels assurance maladie</v>
      </c>
      <c r="U1255" t="str">
        <f>"720020551"</f>
        <v>720020551</v>
      </c>
    </row>
    <row r="1256" spans="1:21" x14ac:dyDescent="0.3">
      <c r="A1256" t="str">
        <f>"760038240"</f>
        <v>760038240</v>
      </c>
      <c r="B1256" t="str">
        <f>"852 513 340 00012"</f>
        <v>852 513 340 00012</v>
      </c>
      <c r="D1256" t="str">
        <f>"CENTRE ALLIANCE VISION LE HAVRE"</f>
        <v>CENTRE ALLIANCE VISION LE HAVRE</v>
      </c>
      <c r="F1256" t="str">
        <f>"207 BOULEVARD DE STRASBOURG"</f>
        <v>207 BOULEVARD DE STRASBOURG</v>
      </c>
      <c r="H1256" t="str">
        <f>"76600"</f>
        <v>76600</v>
      </c>
      <c r="I1256" t="str">
        <f>"LE HAVRE"</f>
        <v>LE HAVRE</v>
      </c>
      <c r="J1256" t="str">
        <f>"02 78 93 50 50 "</f>
        <v xml:space="preserve">02 78 93 50 50 </v>
      </c>
      <c r="L1256" s="1">
        <v>43740</v>
      </c>
      <c r="M1256" t="str">
        <f t="shared" si="210"/>
        <v>124</v>
      </c>
      <c r="N1256" t="str">
        <f t="shared" si="211"/>
        <v>Centre de Santé</v>
      </c>
      <c r="O1256" t="str">
        <f>"60"</f>
        <v>60</v>
      </c>
      <c r="P1256" t="str">
        <f>"Association Loi 1901 non Reconnue d'Utilité Publique"</f>
        <v>Association Loi 1901 non Reconnue d'Utilité Publique</v>
      </c>
      <c r="Q1256" t="str">
        <f t="shared" si="214"/>
        <v>36</v>
      </c>
      <c r="R1256" t="str">
        <f t="shared" si="215"/>
        <v>Tarifs conventionnels assurance maladie</v>
      </c>
      <c r="U1256" t="str">
        <f>"760038232"</f>
        <v>760038232</v>
      </c>
    </row>
    <row r="1257" spans="1:21" x14ac:dyDescent="0.3">
      <c r="A1257" t="str">
        <f>"590062600"</f>
        <v>590062600</v>
      </c>
      <c r="B1257" t="str">
        <f>"852 550 938 00017"</f>
        <v>852 550 938 00017</v>
      </c>
      <c r="D1257" t="str">
        <f>"CSI SOIGNONS HUMAIN OSTREVENT"</f>
        <v>CSI SOIGNONS HUMAIN OSTREVENT</v>
      </c>
      <c r="F1257" t="str">
        <f>"96 RUE NOVY BOR"</f>
        <v>96 RUE NOVY BOR</v>
      </c>
      <c r="H1257" t="str">
        <f>"59580"</f>
        <v>59580</v>
      </c>
      <c r="I1257" t="str">
        <f>"ANICHE"</f>
        <v>ANICHE</v>
      </c>
      <c r="L1257" s="1">
        <v>43739</v>
      </c>
      <c r="M1257" t="str">
        <f t="shared" si="210"/>
        <v>124</v>
      </c>
      <c r="N1257" t="str">
        <f t="shared" si="211"/>
        <v>Centre de Santé</v>
      </c>
      <c r="O1257" t="str">
        <f>"61"</f>
        <v>61</v>
      </c>
      <c r="P1257" t="str">
        <f>"Association Loi 1901 Reconnue d'Utilité Publique"</f>
        <v>Association Loi 1901 Reconnue d'Utilité Publique</v>
      </c>
      <c r="Q1257" t="str">
        <f t="shared" si="214"/>
        <v>36</v>
      </c>
      <c r="R1257" t="str">
        <f t="shared" si="215"/>
        <v>Tarifs conventionnels assurance maladie</v>
      </c>
      <c r="U1257" t="str">
        <f>"590062592"</f>
        <v>590062592</v>
      </c>
    </row>
    <row r="1258" spans="1:21" x14ac:dyDescent="0.3">
      <c r="A1258" t="str">
        <f>"600015374"</f>
        <v>600015374</v>
      </c>
      <c r="B1258" t="str">
        <f>"877 895 698 00018"</f>
        <v>877 895 698 00018</v>
      </c>
      <c r="D1258" t="str">
        <f>"POLE SANTE ST-MAXIMIN CHANTILLY CREIL"</f>
        <v>POLE SANTE ST-MAXIMIN CHANTILLY CREIL</v>
      </c>
      <c r="F1258" t="str">
        <f>"201 RUE DES GIRONDINS"</f>
        <v>201 RUE DES GIRONDINS</v>
      </c>
      <c r="H1258" t="str">
        <f>"60740"</f>
        <v>60740</v>
      </c>
      <c r="I1258" t="str">
        <f>"ST MAXIMIN"</f>
        <v>ST MAXIMIN</v>
      </c>
      <c r="L1258" s="1">
        <v>43739</v>
      </c>
      <c r="M1258" t="str">
        <f t="shared" si="210"/>
        <v>124</v>
      </c>
      <c r="N1258" t="str">
        <f t="shared" si="211"/>
        <v>Centre de Santé</v>
      </c>
      <c r="O1258" t="str">
        <f>"61"</f>
        <v>61</v>
      </c>
      <c r="P1258" t="str">
        <f>"Association Loi 1901 Reconnue d'Utilité Publique"</f>
        <v>Association Loi 1901 Reconnue d'Utilité Publique</v>
      </c>
      <c r="Q1258" t="str">
        <f t="shared" si="214"/>
        <v>36</v>
      </c>
      <c r="R1258" t="str">
        <f t="shared" si="215"/>
        <v>Tarifs conventionnels assurance maladie</v>
      </c>
      <c r="U1258" t="str">
        <f>"600015366"</f>
        <v>600015366</v>
      </c>
    </row>
    <row r="1259" spans="1:21" x14ac:dyDescent="0.3">
      <c r="A1259" t="str">
        <f>"750064164"</f>
        <v>750064164</v>
      </c>
      <c r="B1259" t="str">
        <f>"851 623 926 00017"</f>
        <v>851 623 926 00017</v>
      </c>
      <c r="D1259" t="str">
        <f>"CDS DENTAIRE PORTE D'ASNIERES"</f>
        <v>CDS DENTAIRE PORTE D'ASNIERES</v>
      </c>
      <c r="F1259" t="str">
        <f>"202 BOULEVARD MALESHERBES"</f>
        <v>202 BOULEVARD MALESHERBES</v>
      </c>
      <c r="H1259" t="str">
        <f>"75017"</f>
        <v>75017</v>
      </c>
      <c r="I1259" t="str">
        <f>"PARIS"</f>
        <v>PARIS</v>
      </c>
      <c r="J1259" t="str">
        <f>"01 86 90 33 33 "</f>
        <v xml:space="preserve">01 86 90 33 33 </v>
      </c>
      <c r="L1259" s="1">
        <v>43739</v>
      </c>
      <c r="M1259" t="str">
        <f t="shared" si="210"/>
        <v>124</v>
      </c>
      <c r="N1259" t="str">
        <f t="shared" si="211"/>
        <v>Centre de Santé</v>
      </c>
      <c r="O1259" t="str">
        <f>"60"</f>
        <v>60</v>
      </c>
      <c r="P1259" t="str">
        <f>"Association Loi 1901 non Reconnue d'Utilité Publique"</f>
        <v>Association Loi 1901 non Reconnue d'Utilité Publique</v>
      </c>
      <c r="Q1259" t="str">
        <f t="shared" si="214"/>
        <v>36</v>
      </c>
      <c r="R1259" t="str">
        <f t="shared" si="215"/>
        <v>Tarifs conventionnels assurance maladie</v>
      </c>
      <c r="U1259" t="str">
        <f>"750063992"</f>
        <v>750063992</v>
      </c>
    </row>
    <row r="1260" spans="1:21" x14ac:dyDescent="0.3">
      <c r="A1260" t="str">
        <f>"890010002"</f>
        <v>890010002</v>
      </c>
      <c r="B1260" t="str">
        <f>"218 904 613 00088"</f>
        <v>218 904 613 00088</v>
      </c>
      <c r="D1260" t="str">
        <f>"CENTRE MUNICIPAL DE SANTE"</f>
        <v>CENTRE MUNICIPAL DE SANTE</v>
      </c>
      <c r="F1260" t="str">
        <f>"1 PLACE DE LA LIBERTE"</f>
        <v>1 PLACE DE LA LIBERTE</v>
      </c>
      <c r="H1260" t="str">
        <f>"89190"</f>
        <v>89190</v>
      </c>
      <c r="I1260" t="str">
        <f>"VILLENEUVE L ARCHEVEQUE"</f>
        <v>VILLENEUVE L ARCHEVEQUE</v>
      </c>
      <c r="L1260" s="1">
        <v>43739</v>
      </c>
      <c r="M1260" t="str">
        <f t="shared" si="210"/>
        <v>124</v>
      </c>
      <c r="N1260" t="str">
        <f t="shared" si="211"/>
        <v>Centre de Santé</v>
      </c>
      <c r="O1260" t="str">
        <f>"03"</f>
        <v>03</v>
      </c>
      <c r="P1260" t="str">
        <f>"Commune"</f>
        <v>Commune</v>
      </c>
      <c r="Q1260" t="str">
        <f t="shared" si="214"/>
        <v>36</v>
      </c>
      <c r="R1260" t="str">
        <f t="shared" si="215"/>
        <v>Tarifs conventionnels assurance maladie</v>
      </c>
      <c r="U1260" t="str">
        <f>"890009996"</f>
        <v>890009996</v>
      </c>
    </row>
    <row r="1261" spans="1:21" x14ac:dyDescent="0.3">
      <c r="A1261" t="str">
        <f>"590062535"</f>
        <v>590062535</v>
      </c>
      <c r="B1261" t="str">
        <f>"810 995 852 00128"</f>
        <v>810 995 852 00128</v>
      </c>
      <c r="D1261" t="str">
        <f>"CSD LILLE"</f>
        <v>CSD LILLE</v>
      </c>
      <c r="F1261" t="str">
        <f>"166 RUE PIERRE LEGRAND"</f>
        <v>166 RUE PIERRE LEGRAND</v>
      </c>
      <c r="H1261" t="str">
        <f>"59000"</f>
        <v>59000</v>
      </c>
      <c r="I1261" t="str">
        <f>"LILLE"</f>
        <v>LILLE</v>
      </c>
      <c r="L1261" s="1">
        <v>43738</v>
      </c>
      <c r="M1261" t="str">
        <f t="shared" si="210"/>
        <v>124</v>
      </c>
      <c r="N1261" t="str">
        <f t="shared" si="211"/>
        <v>Centre de Santé</v>
      </c>
      <c r="O1261" t="str">
        <f t="shared" ref="O1261:O1267" si="216">"60"</f>
        <v>60</v>
      </c>
      <c r="P1261" t="str">
        <f t="shared" ref="P1261:P1267" si="217">"Association Loi 1901 non Reconnue d'Utilité Publique"</f>
        <v>Association Loi 1901 non Reconnue d'Utilité Publique</v>
      </c>
      <c r="Q1261" t="str">
        <f t="shared" si="214"/>
        <v>36</v>
      </c>
      <c r="R1261" t="str">
        <f t="shared" si="215"/>
        <v>Tarifs conventionnels assurance maladie</v>
      </c>
      <c r="U1261" t="str">
        <f>"750057440"</f>
        <v>750057440</v>
      </c>
    </row>
    <row r="1262" spans="1:21" x14ac:dyDescent="0.3">
      <c r="A1262" t="str">
        <f>"440056240"</f>
        <v>440056240</v>
      </c>
      <c r="B1262" t="str">
        <f>"839 614 435 00023"</f>
        <v>839 614 435 00023</v>
      </c>
      <c r="D1262" t="str">
        <f>"CENTRE DENTAIRE NANTES"</f>
        <v>CENTRE DENTAIRE NANTES</v>
      </c>
      <c r="F1262" t="str">
        <f>"98 BOULEVARD ROBERT SCHUMANN"</f>
        <v>98 BOULEVARD ROBERT SCHUMANN</v>
      </c>
      <c r="H1262" t="str">
        <f>"44000"</f>
        <v>44000</v>
      </c>
      <c r="I1262" t="str">
        <f>"NANTES"</f>
        <v>NANTES</v>
      </c>
      <c r="J1262" t="str">
        <f>"02 72 24 74 49 "</f>
        <v xml:space="preserve">02 72 24 74 49 </v>
      </c>
      <c r="L1262" s="1">
        <v>43733</v>
      </c>
      <c r="M1262" t="str">
        <f t="shared" si="210"/>
        <v>124</v>
      </c>
      <c r="N1262" t="str">
        <f t="shared" si="211"/>
        <v>Centre de Santé</v>
      </c>
      <c r="O1262" t="str">
        <f t="shared" si="216"/>
        <v>60</v>
      </c>
      <c r="P1262" t="str">
        <f t="shared" si="217"/>
        <v>Association Loi 1901 non Reconnue d'Utilité Publique</v>
      </c>
      <c r="Q1262" t="str">
        <f t="shared" si="214"/>
        <v>36</v>
      </c>
      <c r="R1262" t="str">
        <f t="shared" si="215"/>
        <v>Tarifs conventionnels assurance maladie</v>
      </c>
      <c r="U1262" t="str">
        <f>"440057388"</f>
        <v>440057388</v>
      </c>
    </row>
    <row r="1263" spans="1:21" x14ac:dyDescent="0.3">
      <c r="A1263" t="str">
        <f>"760038158"</f>
        <v>760038158</v>
      </c>
      <c r="B1263" t="str">
        <f>"810 995 852 00136"</f>
        <v>810 995 852 00136</v>
      </c>
      <c r="D1263" t="str">
        <f>"CDS DENTAIRE ROUEN CATHEDRALE"</f>
        <v>CDS DENTAIRE ROUEN CATHEDRALE</v>
      </c>
      <c r="F1263" t="str">
        <f>"67 RUE DU GENERAL LECLERC"</f>
        <v>67 RUE DU GENERAL LECLERC</v>
      </c>
      <c r="H1263" t="str">
        <f>"76000"</f>
        <v>76000</v>
      </c>
      <c r="I1263" t="str">
        <f>"ROUEN"</f>
        <v>ROUEN</v>
      </c>
      <c r="L1263" s="1">
        <v>43733</v>
      </c>
      <c r="M1263" t="str">
        <f t="shared" si="210"/>
        <v>124</v>
      </c>
      <c r="N1263" t="str">
        <f t="shared" si="211"/>
        <v>Centre de Santé</v>
      </c>
      <c r="O1263" t="str">
        <f t="shared" si="216"/>
        <v>60</v>
      </c>
      <c r="P1263" t="str">
        <f t="shared" si="217"/>
        <v>Association Loi 1901 non Reconnue d'Utilité Publique</v>
      </c>
      <c r="Q1263" t="str">
        <f t="shared" si="214"/>
        <v>36</v>
      </c>
      <c r="R1263" t="str">
        <f t="shared" si="215"/>
        <v>Tarifs conventionnels assurance maladie</v>
      </c>
      <c r="U1263" t="str">
        <f>"750057440"</f>
        <v>750057440</v>
      </c>
    </row>
    <row r="1264" spans="1:21" x14ac:dyDescent="0.3">
      <c r="A1264" t="str">
        <f>"930029244"</f>
        <v>930029244</v>
      </c>
      <c r="B1264" t="str">
        <f>"851 747 584 00015"</f>
        <v>851 747 584 00015</v>
      </c>
      <c r="D1264" t="str">
        <f>"CDS MÉDICO-DENTAIRE DE STAINS"</f>
        <v>CDS MÉDICO-DENTAIRE DE STAINS</v>
      </c>
      <c r="F1264" t="str">
        <f>"97 AVENUE STALINGRAD"</f>
        <v>97 AVENUE STALINGRAD</v>
      </c>
      <c r="H1264" t="str">
        <f>"93240"</f>
        <v>93240</v>
      </c>
      <c r="I1264" t="str">
        <f>"STAINS"</f>
        <v>STAINS</v>
      </c>
      <c r="L1264" s="1">
        <v>43733</v>
      </c>
      <c r="M1264" t="str">
        <f t="shared" si="210"/>
        <v>124</v>
      </c>
      <c r="N1264" t="str">
        <f t="shared" si="211"/>
        <v>Centre de Santé</v>
      </c>
      <c r="O1264" t="str">
        <f t="shared" si="216"/>
        <v>60</v>
      </c>
      <c r="P1264" t="str">
        <f t="shared" si="217"/>
        <v>Association Loi 1901 non Reconnue d'Utilité Publique</v>
      </c>
      <c r="Q1264" t="str">
        <f t="shared" si="214"/>
        <v>36</v>
      </c>
      <c r="R1264" t="str">
        <f t="shared" si="215"/>
        <v>Tarifs conventionnels assurance maladie</v>
      </c>
      <c r="U1264" t="str">
        <f>"930029228"</f>
        <v>930029228</v>
      </c>
    </row>
    <row r="1265" spans="1:21" x14ac:dyDescent="0.3">
      <c r="A1265" t="str">
        <f>"940025851"</f>
        <v>940025851</v>
      </c>
      <c r="B1265" t="str">
        <f>"852 746 270 00010"</f>
        <v>852 746 270 00010</v>
      </c>
      <c r="D1265" t="str">
        <f>"CDS ACCES VISION SAINT MANDE"</f>
        <v>CDS ACCES VISION SAINT MANDE</v>
      </c>
      <c r="F1265" t="str">
        <f>"4 AVENUE JOFFRE"</f>
        <v>4 AVENUE JOFFRE</v>
      </c>
      <c r="H1265" t="str">
        <f>"94160"</f>
        <v>94160</v>
      </c>
      <c r="I1265" t="str">
        <f>"ST MANDE"</f>
        <v>ST MANDE</v>
      </c>
      <c r="L1265" s="1">
        <v>43733</v>
      </c>
      <c r="M1265" t="str">
        <f t="shared" si="210"/>
        <v>124</v>
      </c>
      <c r="N1265" t="str">
        <f t="shared" si="211"/>
        <v>Centre de Santé</v>
      </c>
      <c r="O1265" t="str">
        <f t="shared" si="216"/>
        <v>60</v>
      </c>
      <c r="P1265" t="str">
        <f t="shared" si="217"/>
        <v>Association Loi 1901 non Reconnue d'Utilité Publique</v>
      </c>
      <c r="Q1265" t="str">
        <f t="shared" si="214"/>
        <v>36</v>
      </c>
      <c r="R1265" t="str">
        <f t="shared" si="215"/>
        <v>Tarifs conventionnels assurance maladie</v>
      </c>
      <c r="U1265" t="str">
        <f>"940025836"</f>
        <v>940025836</v>
      </c>
    </row>
    <row r="1266" spans="1:21" x14ac:dyDescent="0.3">
      <c r="A1266" t="str">
        <f>"940025828"</f>
        <v>940025828</v>
      </c>
      <c r="B1266" t="str">
        <f>"848 486 551 00015"</f>
        <v>848 486 551 00015</v>
      </c>
      <c r="D1266" t="str">
        <f>"CDS DENTAIRE CACHAN"</f>
        <v>CDS DENTAIRE CACHAN</v>
      </c>
      <c r="F1266" t="str">
        <f>"40 AVENUE MAL DE LATTRE DE TASSIGNY"</f>
        <v>40 AVENUE MAL DE LATTRE DE TASSIGNY</v>
      </c>
      <c r="G1266" t="str">
        <f>"MARECHAL DE LATTRE DE TASSIGNY"</f>
        <v>MARECHAL DE LATTRE DE TASSIGNY</v>
      </c>
      <c r="H1266" t="str">
        <f>"94230"</f>
        <v>94230</v>
      </c>
      <c r="I1266" t="str">
        <f>"CACHAN"</f>
        <v>CACHAN</v>
      </c>
      <c r="L1266" s="1">
        <v>43727</v>
      </c>
      <c r="M1266" t="str">
        <f t="shared" si="210"/>
        <v>124</v>
      </c>
      <c r="N1266" t="str">
        <f t="shared" si="211"/>
        <v>Centre de Santé</v>
      </c>
      <c r="O1266" t="str">
        <f t="shared" si="216"/>
        <v>60</v>
      </c>
      <c r="P1266" t="str">
        <f t="shared" si="217"/>
        <v>Association Loi 1901 non Reconnue d'Utilité Publique</v>
      </c>
      <c r="Q1266" t="str">
        <f t="shared" si="214"/>
        <v>36</v>
      </c>
      <c r="R1266" t="str">
        <f t="shared" si="215"/>
        <v>Tarifs conventionnels assurance maladie</v>
      </c>
      <c r="U1266" t="str">
        <f>"920034808"</f>
        <v>920034808</v>
      </c>
    </row>
    <row r="1267" spans="1:21" x14ac:dyDescent="0.3">
      <c r="A1267" t="str">
        <f>"940025844"</f>
        <v>940025844</v>
      </c>
      <c r="D1267" t="str">
        <f>"CDS DENTAIRE CARNOT"</f>
        <v>CDS DENTAIRE CARNOT</v>
      </c>
      <c r="F1267" t="str">
        <f>"3 RUE DE L'EGLISE"</f>
        <v>3 RUE DE L'EGLISE</v>
      </c>
      <c r="H1267" t="str">
        <f>"94600"</f>
        <v>94600</v>
      </c>
      <c r="I1267" t="str">
        <f>"CHOISY LE ROI"</f>
        <v>CHOISY LE ROI</v>
      </c>
      <c r="J1267" t="str">
        <f>"01 84 23 44 11 "</f>
        <v xml:space="preserve">01 84 23 44 11 </v>
      </c>
      <c r="L1267" s="1">
        <v>43727</v>
      </c>
      <c r="M1267" t="str">
        <f t="shared" si="210"/>
        <v>124</v>
      </c>
      <c r="N1267" t="str">
        <f t="shared" si="211"/>
        <v>Centre de Santé</v>
      </c>
      <c r="O1267" t="str">
        <f t="shared" si="216"/>
        <v>60</v>
      </c>
      <c r="P1267" t="str">
        <f t="shared" si="217"/>
        <v>Association Loi 1901 non Reconnue d'Utilité Publique</v>
      </c>
      <c r="Q1267" t="str">
        <f t="shared" si="214"/>
        <v>36</v>
      </c>
      <c r="R1267" t="str">
        <f t="shared" si="215"/>
        <v>Tarifs conventionnels assurance maladie</v>
      </c>
      <c r="U1267" t="str">
        <f>"940022874"</f>
        <v>940022874</v>
      </c>
    </row>
    <row r="1268" spans="1:21" x14ac:dyDescent="0.3">
      <c r="A1268" t="str">
        <f>"130050461"</f>
        <v>130050461</v>
      </c>
      <c r="D1268" t="str">
        <f>"CDS CLINADENT PRADO"</f>
        <v>CDS CLINADENT PRADO</v>
      </c>
      <c r="F1268" t="str">
        <f>"108 AVENUE DU PRADO"</f>
        <v>108 AVENUE DU PRADO</v>
      </c>
      <c r="H1268" t="str">
        <f>"13008"</f>
        <v>13008</v>
      </c>
      <c r="I1268" t="str">
        <f>"MARSEILLE"</f>
        <v>MARSEILLE</v>
      </c>
      <c r="L1268" s="1">
        <v>43726</v>
      </c>
      <c r="M1268" t="str">
        <f t="shared" si="210"/>
        <v>124</v>
      </c>
      <c r="N1268" t="str">
        <f t="shared" si="211"/>
        <v>Centre de Santé</v>
      </c>
      <c r="O1268" t="str">
        <f>"61"</f>
        <v>61</v>
      </c>
      <c r="P1268" t="str">
        <f>"Association Loi 1901 Reconnue d'Utilité Publique"</f>
        <v>Association Loi 1901 Reconnue d'Utilité Publique</v>
      </c>
      <c r="Q1268" t="str">
        <f t="shared" si="214"/>
        <v>36</v>
      </c>
      <c r="R1268" t="str">
        <f t="shared" si="215"/>
        <v>Tarifs conventionnels assurance maladie</v>
      </c>
      <c r="U1268" t="str">
        <f>"130050453"</f>
        <v>130050453</v>
      </c>
    </row>
    <row r="1269" spans="1:21" x14ac:dyDescent="0.3">
      <c r="A1269" t="str">
        <f>"750063497"</f>
        <v>750063497</v>
      </c>
      <c r="B1269" t="str">
        <f>"840 852 172 00013"</f>
        <v>840 852 172 00013</v>
      </c>
      <c r="D1269" t="str">
        <f>"CDS MEDICAL IYAR SANTE"</f>
        <v>CDS MEDICAL IYAR SANTE</v>
      </c>
      <c r="F1269" t="str">
        <f>"36 RUE DE VAUCOULEURS"</f>
        <v>36 RUE DE VAUCOULEURS</v>
      </c>
      <c r="H1269" t="str">
        <f>"75011"</f>
        <v>75011</v>
      </c>
      <c r="I1269" t="str">
        <f>"PARIS"</f>
        <v>PARIS</v>
      </c>
      <c r="L1269" s="1">
        <v>43724</v>
      </c>
      <c r="M1269" t="str">
        <f t="shared" si="210"/>
        <v>124</v>
      </c>
      <c r="N1269" t="str">
        <f t="shared" si="211"/>
        <v>Centre de Santé</v>
      </c>
      <c r="O1269" t="str">
        <f>"60"</f>
        <v>60</v>
      </c>
      <c r="P1269" t="str">
        <f>"Association Loi 1901 non Reconnue d'Utilité Publique"</f>
        <v>Association Loi 1901 non Reconnue d'Utilité Publique</v>
      </c>
      <c r="Q1269" t="str">
        <f t="shared" si="214"/>
        <v>36</v>
      </c>
      <c r="R1269" t="str">
        <f t="shared" si="215"/>
        <v>Tarifs conventionnels assurance maladie</v>
      </c>
      <c r="U1269" t="str">
        <f>"750063455"</f>
        <v>750063455</v>
      </c>
    </row>
    <row r="1270" spans="1:21" x14ac:dyDescent="0.3">
      <c r="A1270" t="str">
        <f>"750061343"</f>
        <v>750061343</v>
      </c>
      <c r="B1270" t="str">
        <f>"834 027 278 00011"</f>
        <v>834 027 278 00011</v>
      </c>
      <c r="D1270" t="str">
        <f>"CDS DU LOFT DENTAIRE"</f>
        <v>CDS DU LOFT DENTAIRE</v>
      </c>
      <c r="F1270" t="str">
        <f>"5 RUE SAINT JOSEPH"</f>
        <v>5 RUE SAINT JOSEPH</v>
      </c>
      <c r="H1270" t="str">
        <f>"75002"</f>
        <v>75002</v>
      </c>
      <c r="I1270" t="str">
        <f>"PARIS"</f>
        <v>PARIS</v>
      </c>
      <c r="J1270" t="str">
        <f>"01 85 08 02 93 "</f>
        <v xml:space="preserve">01 85 08 02 93 </v>
      </c>
      <c r="L1270" s="1">
        <v>43723</v>
      </c>
      <c r="M1270" t="str">
        <f t="shared" si="210"/>
        <v>124</v>
      </c>
      <c r="N1270" t="str">
        <f t="shared" si="211"/>
        <v>Centre de Santé</v>
      </c>
      <c r="O1270" t="str">
        <f>"60"</f>
        <v>60</v>
      </c>
      <c r="P1270" t="str">
        <f>"Association Loi 1901 non Reconnue d'Utilité Publique"</f>
        <v>Association Loi 1901 non Reconnue d'Utilité Publique</v>
      </c>
      <c r="Q1270" t="str">
        <f t="shared" si="214"/>
        <v>36</v>
      </c>
      <c r="R1270" t="str">
        <f t="shared" si="215"/>
        <v>Tarifs conventionnels assurance maladie</v>
      </c>
      <c r="U1270" t="str">
        <f>"750061335"</f>
        <v>750061335</v>
      </c>
    </row>
    <row r="1271" spans="1:21" x14ac:dyDescent="0.3">
      <c r="A1271" t="str">
        <f>"560029779"</f>
        <v>560029779</v>
      </c>
      <c r="B1271" t="str">
        <f>"840 531 164 00019"</f>
        <v>840 531 164 00019</v>
      </c>
      <c r="D1271" t="str">
        <f>"CENTRE DENTAIRE DE LORIENT"</f>
        <v>CENTRE DENTAIRE DE LORIENT</v>
      </c>
      <c r="F1271" t="str">
        <f>"8 PLACE ALSACE LORRAINE"</f>
        <v>8 PLACE ALSACE LORRAINE</v>
      </c>
      <c r="H1271" t="str">
        <f>"56100"</f>
        <v>56100</v>
      </c>
      <c r="I1271" t="str">
        <f>"LORIENT"</f>
        <v>LORIENT</v>
      </c>
      <c r="J1271" t="str">
        <f>"02 97 80 19 80 "</f>
        <v xml:space="preserve">02 97 80 19 80 </v>
      </c>
      <c r="L1271" s="1">
        <v>43718</v>
      </c>
      <c r="M1271" t="str">
        <f t="shared" si="210"/>
        <v>124</v>
      </c>
      <c r="N1271" t="str">
        <f t="shared" si="211"/>
        <v>Centre de Santé</v>
      </c>
      <c r="O1271" t="str">
        <f>"60"</f>
        <v>60</v>
      </c>
      <c r="P1271" t="str">
        <f>"Association Loi 1901 non Reconnue d'Utilité Publique"</f>
        <v>Association Loi 1901 non Reconnue d'Utilité Publique</v>
      </c>
      <c r="Q1271" t="str">
        <f t="shared" ref="Q1271:Q1302" si="218">"36"</f>
        <v>36</v>
      </c>
      <c r="R1271" t="str">
        <f t="shared" ref="R1271:R1302" si="219">"Tarifs conventionnels assurance maladie"</f>
        <v>Tarifs conventionnels assurance maladie</v>
      </c>
      <c r="U1271" t="str">
        <f>"750064230"</f>
        <v>750064230</v>
      </c>
    </row>
    <row r="1272" spans="1:21" x14ac:dyDescent="0.3">
      <c r="A1272" t="str">
        <f>"690791868"</f>
        <v>690791868</v>
      </c>
      <c r="B1272" t="str">
        <f>"517 465 928 00037"</f>
        <v>517 465 928 00037</v>
      </c>
      <c r="D1272" t="str">
        <f>"CENTRE DE SANTE DENTAIRE VILLEFRANCHE"</f>
        <v>CENTRE DE SANTE DENTAIRE VILLEFRANCHE</v>
      </c>
      <c r="F1272" t="str">
        <f>"150 BOULEVARD GAMBETTA"</f>
        <v>150 BOULEVARD GAMBETTA</v>
      </c>
      <c r="H1272" t="str">
        <f>"69400"</f>
        <v>69400</v>
      </c>
      <c r="I1272" t="str">
        <f>"VILLEFRANCHE SUR SAONE"</f>
        <v>VILLEFRANCHE SUR SAONE</v>
      </c>
      <c r="J1272" t="str">
        <f>"04 72 65 52 09 "</f>
        <v xml:space="preserve">04 72 65 52 09 </v>
      </c>
      <c r="L1272" s="1">
        <v>43717</v>
      </c>
      <c r="M1272" t="str">
        <f t="shared" si="210"/>
        <v>124</v>
      </c>
      <c r="N1272" t="str">
        <f t="shared" si="211"/>
        <v>Centre de Santé</v>
      </c>
      <c r="O1272" t="str">
        <f>"40"</f>
        <v>40</v>
      </c>
      <c r="P1272" t="str">
        <f>"Régime Général de Sécurité Sociale"</f>
        <v>Régime Général de Sécurité Sociale</v>
      </c>
      <c r="Q1272" t="str">
        <f t="shared" si="218"/>
        <v>36</v>
      </c>
      <c r="R1272" t="str">
        <f t="shared" si="219"/>
        <v>Tarifs conventionnels assurance maladie</v>
      </c>
      <c r="U1272" t="str">
        <f>"690797006"</f>
        <v>690797006</v>
      </c>
    </row>
    <row r="1273" spans="1:21" x14ac:dyDescent="0.3">
      <c r="A1273" t="str">
        <f>"210013298"</f>
        <v>210013298</v>
      </c>
      <c r="D1273" t="str">
        <f>"CENTRE DE SANTE ADMR DIJON METROPOLE"</f>
        <v>CENTRE DE SANTE ADMR DIJON METROPOLE</v>
      </c>
      <c r="F1273" t="str">
        <f>"36 RUE PARMENTIER"</f>
        <v>36 RUE PARMENTIER</v>
      </c>
      <c r="H1273" t="str">
        <f>"21000"</f>
        <v>21000</v>
      </c>
      <c r="I1273" t="str">
        <f>"DIJON"</f>
        <v>DIJON</v>
      </c>
      <c r="L1273" s="1">
        <v>43714</v>
      </c>
      <c r="M1273" t="str">
        <f t="shared" si="210"/>
        <v>124</v>
      </c>
      <c r="N1273" t="str">
        <f t="shared" si="211"/>
        <v>Centre de Santé</v>
      </c>
      <c r="O1273" t="str">
        <f>"60"</f>
        <v>60</v>
      </c>
      <c r="P1273" t="str">
        <f>"Association Loi 1901 non Reconnue d'Utilité Publique"</f>
        <v>Association Loi 1901 non Reconnue d'Utilité Publique</v>
      </c>
      <c r="Q1273" t="str">
        <f t="shared" si="218"/>
        <v>36</v>
      </c>
      <c r="R1273" t="str">
        <f t="shared" si="219"/>
        <v>Tarifs conventionnels assurance maladie</v>
      </c>
      <c r="U1273" t="str">
        <f>"210985735"</f>
        <v>210985735</v>
      </c>
    </row>
    <row r="1274" spans="1:21" x14ac:dyDescent="0.3">
      <c r="A1274" t="str">
        <f>"600012827"</f>
        <v>600012827</v>
      </c>
      <c r="B1274" t="str">
        <f>"848 547 030 00017"</f>
        <v>848 547 030 00017</v>
      </c>
      <c r="D1274" t="str">
        <f>"CSD NOGENT-SUR-OISE"</f>
        <v>CSD NOGENT-SUR-OISE</v>
      </c>
      <c r="F1274" t="str">
        <f>"2 AVENUE DU 8 MAI 1945"</f>
        <v>2 AVENUE DU 8 MAI 1945</v>
      </c>
      <c r="H1274" t="str">
        <f>"60180"</f>
        <v>60180</v>
      </c>
      <c r="I1274" t="str">
        <f>"NOGENT SUR OISE"</f>
        <v>NOGENT SUR OISE</v>
      </c>
      <c r="J1274" t="str">
        <f>"03 44 24 97 84 "</f>
        <v xml:space="preserve">03 44 24 97 84 </v>
      </c>
      <c r="K1274" t="str">
        <f>"03 44 24 97 83"</f>
        <v>03 44 24 97 83</v>
      </c>
      <c r="L1274" s="1">
        <v>43714</v>
      </c>
      <c r="M1274" t="str">
        <f t="shared" si="210"/>
        <v>124</v>
      </c>
      <c r="N1274" t="str">
        <f t="shared" si="211"/>
        <v>Centre de Santé</v>
      </c>
      <c r="O1274" t="str">
        <f>"61"</f>
        <v>61</v>
      </c>
      <c r="P1274" t="str">
        <f>"Association Loi 1901 Reconnue d'Utilité Publique"</f>
        <v>Association Loi 1901 Reconnue d'Utilité Publique</v>
      </c>
      <c r="Q1274" t="str">
        <f t="shared" si="218"/>
        <v>36</v>
      </c>
      <c r="R1274" t="str">
        <f t="shared" si="219"/>
        <v>Tarifs conventionnels assurance maladie</v>
      </c>
      <c r="U1274" t="str">
        <f>"600012819"</f>
        <v>600012819</v>
      </c>
    </row>
    <row r="1275" spans="1:21" x14ac:dyDescent="0.3">
      <c r="A1275" t="str">
        <f>"240016980"</f>
        <v>240016980</v>
      </c>
      <c r="D1275" t="str">
        <f>"CDS POLYVALENT JOHN BOST"</f>
        <v>CDS POLYVALENT JOHN BOST</v>
      </c>
      <c r="F1275" t="str">
        <f>"RUE DU PASTEUR ALLARD"</f>
        <v>RUE DU PASTEUR ALLARD</v>
      </c>
      <c r="H1275" t="str">
        <f>"24130"</f>
        <v>24130</v>
      </c>
      <c r="I1275" t="str">
        <f>"LA FORCE"</f>
        <v>LA FORCE</v>
      </c>
      <c r="J1275" t="str">
        <f>"05 53 58 01 03 "</f>
        <v xml:space="preserve">05 53 58 01 03 </v>
      </c>
      <c r="L1275" s="1">
        <v>43712</v>
      </c>
      <c r="M1275" t="str">
        <f t="shared" si="210"/>
        <v>124</v>
      </c>
      <c r="N1275" t="str">
        <f t="shared" si="211"/>
        <v>Centre de Santé</v>
      </c>
      <c r="O1275" t="str">
        <f>"63"</f>
        <v>63</v>
      </c>
      <c r="P1275" t="str">
        <f>"Fondation"</f>
        <v>Fondation</v>
      </c>
      <c r="Q1275" t="str">
        <f t="shared" si="218"/>
        <v>36</v>
      </c>
      <c r="R1275" t="str">
        <f t="shared" si="219"/>
        <v>Tarifs conventionnels assurance maladie</v>
      </c>
      <c r="U1275" t="str">
        <f>"240000265"</f>
        <v>240000265</v>
      </c>
    </row>
    <row r="1276" spans="1:21" x14ac:dyDescent="0.3">
      <c r="A1276" t="str">
        <f>"660011966"</f>
        <v>660011966</v>
      </c>
      <c r="B1276" t="str">
        <f>"444 270 326 00226"</f>
        <v>444 270 326 00226</v>
      </c>
      <c r="D1276" t="str">
        <f>"CENTRE DENTAIRE MAS GUERIDO"</f>
        <v>CENTRE DENTAIRE MAS GUERIDO</v>
      </c>
      <c r="F1276" t="str">
        <f>"40 RUE HECTOR GUIMARD"</f>
        <v>40 RUE HECTOR GUIMARD</v>
      </c>
      <c r="H1276" t="str">
        <f>"66000"</f>
        <v>66000</v>
      </c>
      <c r="I1276" t="str">
        <f>"PERPIGNAN"</f>
        <v>PERPIGNAN</v>
      </c>
      <c r="J1276" t="str">
        <f>"04 11 96 01 20 "</f>
        <v xml:space="preserve">04 11 96 01 20 </v>
      </c>
      <c r="L1276" s="1">
        <v>43712</v>
      </c>
      <c r="M1276" t="str">
        <f t="shared" si="210"/>
        <v>124</v>
      </c>
      <c r="N1276" t="str">
        <f t="shared" si="211"/>
        <v>Centre de Santé</v>
      </c>
      <c r="O1276" t="str">
        <f>"47"</f>
        <v>47</v>
      </c>
      <c r="P1276" t="str">
        <f>"Société Mutualiste"</f>
        <v>Société Mutualiste</v>
      </c>
      <c r="Q1276" t="str">
        <f t="shared" si="218"/>
        <v>36</v>
      </c>
      <c r="R1276" t="str">
        <f t="shared" si="219"/>
        <v>Tarifs conventionnels assurance maladie</v>
      </c>
      <c r="U1276" t="str">
        <f>"340028901"</f>
        <v>340028901</v>
      </c>
    </row>
    <row r="1277" spans="1:21" x14ac:dyDescent="0.3">
      <c r="A1277" t="str">
        <f>"590062436"</f>
        <v>590062436</v>
      </c>
      <c r="B1277" t="str">
        <f>"841 056 773 00010"</f>
        <v>841 056 773 00010</v>
      </c>
      <c r="D1277" t="str">
        <f>"CSD LILLE"</f>
        <v>CSD LILLE</v>
      </c>
      <c r="F1277" t="str">
        <f>"33 RUE DE BÉTHUNE"</f>
        <v>33 RUE DE BÉTHUNE</v>
      </c>
      <c r="H1277" t="str">
        <f>"59000"</f>
        <v>59000</v>
      </c>
      <c r="I1277" t="str">
        <f>"LILLE"</f>
        <v>LILLE</v>
      </c>
      <c r="L1277" s="1">
        <v>43710</v>
      </c>
      <c r="M1277" t="str">
        <f t="shared" si="210"/>
        <v>124</v>
      </c>
      <c r="N1277" t="str">
        <f t="shared" si="211"/>
        <v>Centre de Santé</v>
      </c>
      <c r="O1277" t="str">
        <f>"61"</f>
        <v>61</v>
      </c>
      <c r="P1277" t="str">
        <f>"Association Loi 1901 Reconnue d'Utilité Publique"</f>
        <v>Association Loi 1901 Reconnue d'Utilité Publique</v>
      </c>
      <c r="Q1277" t="str">
        <f t="shared" si="218"/>
        <v>36</v>
      </c>
      <c r="R1277" t="str">
        <f t="shared" si="219"/>
        <v>Tarifs conventionnels assurance maladie</v>
      </c>
      <c r="U1277" t="str">
        <f>"590062428"</f>
        <v>590062428</v>
      </c>
    </row>
    <row r="1278" spans="1:21" x14ac:dyDescent="0.3">
      <c r="A1278" t="str">
        <f>"750063745"</f>
        <v>750063745</v>
      </c>
      <c r="B1278" t="str">
        <f>"830 073 276 00164"</f>
        <v>830 073 276 00164</v>
      </c>
      <c r="D1278" t="str">
        <f>"CDS DENTAIRE FAIDHERBE"</f>
        <v>CDS DENTAIRE FAIDHERBE</v>
      </c>
      <c r="F1278" t="str">
        <f>"14 RUE DE CHANZY"</f>
        <v>14 RUE DE CHANZY</v>
      </c>
      <c r="H1278" t="str">
        <f>"75011"</f>
        <v>75011</v>
      </c>
      <c r="I1278" t="str">
        <f>"PARIS"</f>
        <v>PARIS</v>
      </c>
      <c r="J1278" t="str">
        <f>"01 86 90 34 34 "</f>
        <v xml:space="preserve">01 86 90 34 34 </v>
      </c>
      <c r="L1278" s="1">
        <v>43710</v>
      </c>
      <c r="M1278" t="str">
        <f t="shared" si="210"/>
        <v>124</v>
      </c>
      <c r="N1278" t="str">
        <f t="shared" si="211"/>
        <v>Centre de Santé</v>
      </c>
      <c r="O1278" t="str">
        <f>"60"</f>
        <v>60</v>
      </c>
      <c r="P1278" t="str">
        <f>"Association Loi 1901 non Reconnue d'Utilité Publique"</f>
        <v>Association Loi 1901 non Reconnue d'Utilité Publique</v>
      </c>
      <c r="Q1278" t="str">
        <f t="shared" si="218"/>
        <v>36</v>
      </c>
      <c r="R1278" t="str">
        <f t="shared" si="219"/>
        <v>Tarifs conventionnels assurance maladie</v>
      </c>
      <c r="U1278" t="str">
        <f>"750060345"</f>
        <v>750060345</v>
      </c>
    </row>
    <row r="1279" spans="1:21" x14ac:dyDescent="0.3">
      <c r="A1279" t="str">
        <f>"770022747"</f>
        <v>770022747</v>
      </c>
      <c r="B1279" t="str">
        <f>"217 702 943 00010"</f>
        <v>217 702 943 00010</v>
      </c>
      <c r="D1279" t="str">
        <f>"CDS DE MITRY-MORY"</f>
        <v>CDS DE MITRY-MORY</v>
      </c>
      <c r="E1279" t="str">
        <f>"4-8"</f>
        <v>4-8</v>
      </c>
      <c r="F1279" t="str">
        <f>"4 PLACE NELSON MANDELA"</f>
        <v>4 PLACE NELSON MANDELA</v>
      </c>
      <c r="H1279" t="str">
        <f>"77290"</f>
        <v>77290</v>
      </c>
      <c r="I1279" t="str">
        <f>"MITRY MORY"</f>
        <v>MITRY MORY</v>
      </c>
      <c r="J1279" t="str">
        <f>"01 71 58 71 57 "</f>
        <v xml:space="preserve">01 71 58 71 57 </v>
      </c>
      <c r="L1279" s="1">
        <v>43710</v>
      </c>
      <c r="M1279" t="str">
        <f t="shared" si="210"/>
        <v>124</v>
      </c>
      <c r="N1279" t="str">
        <f t="shared" si="211"/>
        <v>Centre de Santé</v>
      </c>
      <c r="O1279" t="str">
        <f>"03"</f>
        <v>03</v>
      </c>
      <c r="P1279" t="str">
        <f>"Commune"</f>
        <v>Commune</v>
      </c>
      <c r="Q1279" t="str">
        <f t="shared" si="218"/>
        <v>36</v>
      </c>
      <c r="R1279" t="str">
        <f t="shared" si="219"/>
        <v>Tarifs conventionnels assurance maladie</v>
      </c>
      <c r="U1279" t="str">
        <f>"770022739"</f>
        <v>770022739</v>
      </c>
    </row>
    <row r="1280" spans="1:21" x14ac:dyDescent="0.3">
      <c r="A1280" t="str">
        <f>"380022079"</f>
        <v>380022079</v>
      </c>
      <c r="D1280" t="str">
        <f>"CENTRE DE SANTE SUBLIM'DENT BOURGOIN"</f>
        <v>CENTRE DE SANTE SUBLIM'DENT BOURGOIN</v>
      </c>
      <c r="F1280" t="str">
        <f>"PARC DE LA GRIVE"</f>
        <v>PARC DE LA GRIVE</v>
      </c>
      <c r="H1280" t="str">
        <f>"38300"</f>
        <v>38300</v>
      </c>
      <c r="I1280" t="str">
        <f>"BOURGOIN JALLIEU"</f>
        <v>BOURGOIN JALLIEU</v>
      </c>
      <c r="J1280" t="str">
        <f>"04 76 35 35 39 "</f>
        <v xml:space="preserve">04 76 35 35 39 </v>
      </c>
      <c r="L1280" s="1">
        <v>43709</v>
      </c>
      <c r="M1280" t="str">
        <f t="shared" si="210"/>
        <v>124</v>
      </c>
      <c r="N1280" t="str">
        <f t="shared" si="211"/>
        <v>Centre de Santé</v>
      </c>
      <c r="O1280" t="str">
        <f>"60"</f>
        <v>60</v>
      </c>
      <c r="P1280" t="str">
        <f>"Association Loi 1901 non Reconnue d'Utilité Publique"</f>
        <v>Association Loi 1901 non Reconnue d'Utilité Publique</v>
      </c>
      <c r="Q1280" t="str">
        <f t="shared" si="218"/>
        <v>36</v>
      </c>
      <c r="R1280" t="str">
        <f t="shared" si="219"/>
        <v>Tarifs conventionnels assurance maladie</v>
      </c>
      <c r="U1280" t="str">
        <f>"380019869"</f>
        <v>380019869</v>
      </c>
    </row>
    <row r="1281" spans="1:21" x14ac:dyDescent="0.3">
      <c r="A1281" t="str">
        <f>"390007953"</f>
        <v>390007953</v>
      </c>
      <c r="B1281" t="str">
        <f>"850 761 628 00013"</f>
        <v>850 761 628 00013</v>
      </c>
      <c r="D1281" t="str">
        <f>"SOIGNONS HUMAIN VAL D'AMOUR"</f>
        <v>SOIGNONS HUMAIN VAL D'AMOUR</v>
      </c>
      <c r="F1281" t="str">
        <f>"2 RUE LEON GUIGNARD"</f>
        <v>2 RUE LEON GUIGNARD</v>
      </c>
      <c r="H1281" t="str">
        <f>"39380"</f>
        <v>39380</v>
      </c>
      <c r="I1281" t="str">
        <f>"MONT SOUS VAUDREY"</f>
        <v>MONT SOUS VAUDREY</v>
      </c>
      <c r="L1281" s="1">
        <v>43709</v>
      </c>
      <c r="M1281" t="str">
        <f t="shared" si="210"/>
        <v>124</v>
      </c>
      <c r="N1281" t="str">
        <f t="shared" si="211"/>
        <v>Centre de Santé</v>
      </c>
      <c r="O1281" t="str">
        <f>"60"</f>
        <v>60</v>
      </c>
      <c r="P1281" t="str">
        <f>"Association Loi 1901 non Reconnue d'Utilité Publique"</f>
        <v>Association Loi 1901 non Reconnue d'Utilité Publique</v>
      </c>
      <c r="Q1281" t="str">
        <f t="shared" si="218"/>
        <v>36</v>
      </c>
      <c r="R1281" t="str">
        <f t="shared" si="219"/>
        <v>Tarifs conventionnels assurance maladie</v>
      </c>
      <c r="U1281" t="str">
        <f>"390007946"</f>
        <v>390007946</v>
      </c>
    </row>
    <row r="1282" spans="1:21" x14ac:dyDescent="0.3">
      <c r="A1282" t="str">
        <f>"440056083"</f>
        <v>440056083</v>
      </c>
      <c r="B1282" t="str">
        <f>"843 908 443 00024"</f>
        <v>843 908 443 00024</v>
      </c>
      <c r="D1282" t="str">
        <f>"CENTRE DE SANTE SOMED NANTES"</f>
        <v>CENTRE DE SANTE SOMED NANTES</v>
      </c>
      <c r="F1282" t="str">
        <f>"6 RUE DU DOCTEUR ZAMENHOFF"</f>
        <v>6 RUE DU DOCTEUR ZAMENHOFF</v>
      </c>
      <c r="H1282" t="str">
        <f>"44200"</f>
        <v>44200</v>
      </c>
      <c r="I1282" t="str">
        <f>"NANTES"</f>
        <v>NANTES</v>
      </c>
      <c r="L1282" s="1">
        <v>43709</v>
      </c>
      <c r="M1282" t="str">
        <f t="shared" ref="M1282:M1345" si="220">"124"</f>
        <v>124</v>
      </c>
      <c r="N1282" t="str">
        <f t="shared" ref="N1282:N1345" si="221">"Centre de Santé"</f>
        <v>Centre de Santé</v>
      </c>
      <c r="O1282" t="str">
        <f>"60"</f>
        <v>60</v>
      </c>
      <c r="P1282" t="str">
        <f>"Association Loi 1901 non Reconnue d'Utilité Publique"</f>
        <v>Association Loi 1901 non Reconnue d'Utilité Publique</v>
      </c>
      <c r="Q1282" t="str">
        <f t="shared" si="218"/>
        <v>36</v>
      </c>
      <c r="R1282" t="str">
        <f t="shared" si="219"/>
        <v>Tarifs conventionnels assurance maladie</v>
      </c>
      <c r="U1282" t="str">
        <f>"440056075"</f>
        <v>440056075</v>
      </c>
    </row>
    <row r="1283" spans="1:21" x14ac:dyDescent="0.3">
      <c r="A1283" t="str">
        <f>"600014666"</f>
        <v>600014666</v>
      </c>
      <c r="B1283" t="str">
        <f>"841 650 195 00016"</f>
        <v>841 650 195 00016</v>
      </c>
      <c r="D1283" t="str">
        <f>"CTRE MEDICO DENTAIRE CARROUSEL"</f>
        <v>CTRE MEDICO DENTAIRE CARROUSEL</v>
      </c>
      <c r="F1283" t="str">
        <f>"2 RUE PHILIPPE DE DREUX"</f>
        <v>2 RUE PHILIPPE DE DREUX</v>
      </c>
      <c r="H1283" t="str">
        <f>"60000"</f>
        <v>60000</v>
      </c>
      <c r="I1283" t="str">
        <f>"BEAUVAIS"</f>
        <v>BEAUVAIS</v>
      </c>
      <c r="L1283" s="1">
        <v>43709</v>
      </c>
      <c r="M1283" t="str">
        <f t="shared" si="220"/>
        <v>124</v>
      </c>
      <c r="N1283" t="str">
        <f t="shared" si="221"/>
        <v>Centre de Santé</v>
      </c>
      <c r="O1283" t="str">
        <f>"61"</f>
        <v>61</v>
      </c>
      <c r="P1283" t="str">
        <f>"Association Loi 1901 Reconnue d'Utilité Publique"</f>
        <v>Association Loi 1901 Reconnue d'Utilité Publique</v>
      </c>
      <c r="Q1283" t="str">
        <f t="shared" si="218"/>
        <v>36</v>
      </c>
      <c r="R1283" t="str">
        <f t="shared" si="219"/>
        <v>Tarifs conventionnels assurance maladie</v>
      </c>
      <c r="U1283" t="str">
        <f>"600014658"</f>
        <v>600014658</v>
      </c>
    </row>
    <row r="1284" spans="1:21" x14ac:dyDescent="0.3">
      <c r="A1284" t="str">
        <f>"690052345"</f>
        <v>690052345</v>
      </c>
      <c r="B1284" t="str">
        <f>"196 917 751 00014"</f>
        <v>196 917 751 00014</v>
      </c>
      <c r="D1284" t="str">
        <f>"CENTRE DE SANTE DE L'UNIV LYON 2 - BDR"</f>
        <v>CENTRE DE SANTE DE L'UNIV LYON 2 - BDR</v>
      </c>
      <c r="E1284" t="str">
        <f>"CAMPUS BERGES DU RHONE"</f>
        <v>CAMPUS BERGES DU RHONE</v>
      </c>
      <c r="F1284" t="str">
        <f>"86 RUE PASTEUR"</f>
        <v>86 RUE PASTEUR</v>
      </c>
      <c r="H1284" t="str">
        <f>"69007"</f>
        <v>69007</v>
      </c>
      <c r="I1284" t="str">
        <f>"LYON"</f>
        <v>LYON</v>
      </c>
      <c r="J1284" t="str">
        <f>"04 78 77 43 10 "</f>
        <v xml:space="preserve">04 78 77 43 10 </v>
      </c>
      <c r="L1284" s="1">
        <v>43709</v>
      </c>
      <c r="M1284" t="str">
        <f t="shared" si="220"/>
        <v>124</v>
      </c>
      <c r="N1284" t="str">
        <f t="shared" si="221"/>
        <v>Centre de Santé</v>
      </c>
      <c r="O1284" t="str">
        <f>"26"</f>
        <v>26</v>
      </c>
      <c r="P1284" t="str">
        <f>"Autre Etablissement Public à Caractère Administratif"</f>
        <v>Autre Etablissement Public à Caractère Administratif</v>
      </c>
      <c r="Q1284" t="str">
        <f t="shared" si="218"/>
        <v>36</v>
      </c>
      <c r="R1284" t="str">
        <f t="shared" si="219"/>
        <v>Tarifs conventionnels assurance maladie</v>
      </c>
      <c r="U1284" t="str">
        <f>"690044375"</f>
        <v>690044375</v>
      </c>
    </row>
    <row r="1285" spans="1:21" x14ac:dyDescent="0.3">
      <c r="A1285" t="str">
        <f>"850028077"</f>
        <v>850028077</v>
      </c>
      <c r="B1285" t="str">
        <f>"200 071 918 00011"</f>
        <v>200 071 918 00011</v>
      </c>
      <c r="D1285" t="str">
        <f>"CENTRE COMMUNAUTAIRE MEDICAL"</f>
        <v>CENTRE COMMUNAUTAIRE MEDICAL</v>
      </c>
      <c r="F1285" t="str">
        <f>"14 RUE GENERAL DE CHARETTE"</f>
        <v>14 RUE GENERAL DE CHARETTE</v>
      </c>
      <c r="H1285" t="str">
        <f>"85250"</f>
        <v>85250</v>
      </c>
      <c r="I1285" t="str">
        <f>"ST FULGENT"</f>
        <v>ST FULGENT</v>
      </c>
      <c r="L1285" s="1">
        <v>43709</v>
      </c>
      <c r="M1285" t="str">
        <f t="shared" si="220"/>
        <v>124</v>
      </c>
      <c r="N1285" t="str">
        <f t="shared" si="221"/>
        <v>Centre de Santé</v>
      </c>
      <c r="O1285" t="str">
        <f>"03"</f>
        <v>03</v>
      </c>
      <c r="P1285" t="str">
        <f>"Commune"</f>
        <v>Commune</v>
      </c>
      <c r="Q1285" t="str">
        <f t="shared" si="218"/>
        <v>36</v>
      </c>
      <c r="R1285" t="str">
        <f t="shared" si="219"/>
        <v>Tarifs conventionnels assurance maladie</v>
      </c>
      <c r="U1285" t="str">
        <f>"850028069"</f>
        <v>850028069</v>
      </c>
    </row>
    <row r="1286" spans="1:21" x14ac:dyDescent="0.3">
      <c r="A1286" t="str">
        <f>"570028571"</f>
        <v>570028571</v>
      </c>
      <c r="B1286" t="str">
        <f>"775 615 537 00864"</f>
        <v>775 615 537 00864</v>
      </c>
      <c r="D1286" t="str">
        <f>"CENTRE DE SANTE DENTAIRE"</f>
        <v>CENTRE DE SANTE DENTAIRE</v>
      </c>
      <c r="E1286" t="str">
        <f>"ZI DE LA GROSSE HAYE"</f>
        <v>ZI DE LA GROSSE HAYE</v>
      </c>
      <c r="F1286" t="str">
        <f>"8 RUE DES BOULEAUX"</f>
        <v>8 RUE DES BOULEAUX</v>
      </c>
      <c r="H1286" t="str">
        <f>"57200"</f>
        <v>57200</v>
      </c>
      <c r="I1286" t="str">
        <f>"SARREGUEMINES"</f>
        <v>SARREGUEMINES</v>
      </c>
      <c r="J1286" t="str">
        <f>"03 87 28 07 70 "</f>
        <v xml:space="preserve">03 87 28 07 70 </v>
      </c>
      <c r="K1286" t="str">
        <f>"03 87 28 07 12"</f>
        <v>03 87 28 07 12</v>
      </c>
      <c r="L1286" s="1">
        <v>43696</v>
      </c>
      <c r="M1286" t="str">
        <f t="shared" si="220"/>
        <v>124</v>
      </c>
      <c r="N1286" t="str">
        <f t="shared" si="221"/>
        <v>Centre de Santé</v>
      </c>
      <c r="O1286" t="str">
        <f>"47"</f>
        <v>47</v>
      </c>
      <c r="P1286" t="str">
        <f>"Société Mutualiste"</f>
        <v>Société Mutualiste</v>
      </c>
      <c r="Q1286" t="str">
        <f t="shared" si="218"/>
        <v>36</v>
      </c>
      <c r="R1286" t="str">
        <f t="shared" si="219"/>
        <v>Tarifs conventionnels assurance maladie</v>
      </c>
      <c r="U1286" t="str">
        <f>"540013042"</f>
        <v>540013042</v>
      </c>
    </row>
    <row r="1287" spans="1:21" x14ac:dyDescent="0.3">
      <c r="A1287" t="str">
        <f>"540025111"</f>
        <v>540025111</v>
      </c>
      <c r="B1287" t="str">
        <f>"851 714 014 00012"</f>
        <v>851 714 014 00012</v>
      </c>
      <c r="D1287" t="str">
        <f>"CENTRE DE SANTE DENTAIRE ASSN"</f>
        <v>CENTRE DE SANTE DENTAIRE ASSN</v>
      </c>
      <c r="F1287" t="str">
        <f>"32 BOULEVARD JOFFRE"</f>
        <v>32 BOULEVARD JOFFRE</v>
      </c>
      <c r="H1287" t="str">
        <f>"54000"</f>
        <v>54000</v>
      </c>
      <c r="I1287" t="str">
        <f>"NANCY"</f>
        <v>NANCY</v>
      </c>
      <c r="J1287" t="str">
        <f>"03 72 47 26 26 "</f>
        <v xml:space="preserve">03 72 47 26 26 </v>
      </c>
      <c r="L1287" s="1">
        <v>43685</v>
      </c>
      <c r="M1287" t="str">
        <f t="shared" si="220"/>
        <v>124</v>
      </c>
      <c r="N1287" t="str">
        <f t="shared" si="221"/>
        <v>Centre de Santé</v>
      </c>
      <c r="O1287" t="str">
        <f>"60"</f>
        <v>60</v>
      </c>
      <c r="P1287" t="str">
        <f>"Association Loi 1901 non Reconnue d'Utilité Publique"</f>
        <v>Association Loi 1901 non Reconnue d'Utilité Publique</v>
      </c>
      <c r="Q1287" t="str">
        <f t="shared" si="218"/>
        <v>36</v>
      </c>
      <c r="R1287" t="str">
        <f t="shared" si="219"/>
        <v>Tarifs conventionnels assurance maladie</v>
      </c>
      <c r="U1287" t="str">
        <f>"540025103"</f>
        <v>540025103</v>
      </c>
    </row>
    <row r="1288" spans="1:21" x14ac:dyDescent="0.3">
      <c r="A1288" t="str">
        <f>"590062410"</f>
        <v>590062410</v>
      </c>
      <c r="B1288" t="str">
        <f>"844 648 766 00013"</f>
        <v>844 648 766 00013</v>
      </c>
      <c r="D1288" t="str">
        <f>"CSD LILLE WAZEMMES"</f>
        <v>CSD LILLE WAZEMMES</v>
      </c>
      <c r="F1288" t="str">
        <f>"333 RUE LÉON GAMBETTA"</f>
        <v>333 RUE LÉON GAMBETTA</v>
      </c>
      <c r="H1288" t="str">
        <f>"59000"</f>
        <v>59000</v>
      </c>
      <c r="I1288" t="str">
        <f>"LILLE"</f>
        <v>LILLE</v>
      </c>
      <c r="J1288" t="str">
        <f>"03 28 04 55 55 "</f>
        <v xml:space="preserve">03 28 04 55 55 </v>
      </c>
      <c r="L1288" s="1">
        <v>43682</v>
      </c>
      <c r="M1288" t="str">
        <f t="shared" si="220"/>
        <v>124</v>
      </c>
      <c r="N1288" t="str">
        <f t="shared" si="221"/>
        <v>Centre de Santé</v>
      </c>
      <c r="O1288" t="str">
        <f>"61"</f>
        <v>61</v>
      </c>
      <c r="P1288" t="str">
        <f>"Association Loi 1901 Reconnue d'Utilité Publique"</f>
        <v>Association Loi 1901 Reconnue d'Utilité Publique</v>
      </c>
      <c r="Q1288" t="str">
        <f t="shared" si="218"/>
        <v>36</v>
      </c>
      <c r="R1288" t="str">
        <f t="shared" si="219"/>
        <v>Tarifs conventionnels assurance maladie</v>
      </c>
      <c r="U1288" t="str">
        <f>"590062402"</f>
        <v>590062402</v>
      </c>
    </row>
    <row r="1289" spans="1:21" x14ac:dyDescent="0.3">
      <c r="A1289" t="str">
        <f>"190013268"</f>
        <v>190013268</v>
      </c>
      <c r="B1289" t="str">
        <f>"221 927 205 00528"</f>
        <v>221 927 205 00528</v>
      </c>
      <c r="D1289" t="str">
        <f>"CDS CORREZE SANTE"</f>
        <v>CDS CORREZE SANTE</v>
      </c>
      <c r="F1289" t="str">
        <f>"11 RUE DU MOURICOU"</f>
        <v>11 RUE DU MOURICOU</v>
      </c>
      <c r="H1289" t="str">
        <f>"19300"</f>
        <v>19300</v>
      </c>
      <c r="I1289" t="str">
        <f>"EGLETONS"</f>
        <v>EGLETONS</v>
      </c>
      <c r="J1289" t="str">
        <f>"08 05 29 19 09 "</f>
        <v xml:space="preserve">08 05 29 19 09 </v>
      </c>
      <c r="L1289" s="1">
        <v>43679</v>
      </c>
      <c r="M1289" t="str">
        <f t="shared" si="220"/>
        <v>124</v>
      </c>
      <c r="N1289" t="str">
        <f t="shared" si="221"/>
        <v>Centre de Santé</v>
      </c>
      <c r="O1289" t="str">
        <f>"02"</f>
        <v>02</v>
      </c>
      <c r="P1289" t="str">
        <f>"Département"</f>
        <v>Département</v>
      </c>
      <c r="Q1289" t="str">
        <f t="shared" si="218"/>
        <v>36</v>
      </c>
      <c r="R1289" t="str">
        <f t="shared" si="219"/>
        <v>Tarifs conventionnels assurance maladie</v>
      </c>
      <c r="U1289" t="str">
        <f>"190006304"</f>
        <v>190006304</v>
      </c>
    </row>
    <row r="1290" spans="1:21" x14ac:dyDescent="0.3">
      <c r="A1290" t="str">
        <f>"600014724"</f>
        <v>600014724</v>
      </c>
      <c r="B1290" t="str">
        <f>"847 494 705 00019"</f>
        <v>847 494 705 00019</v>
      </c>
      <c r="D1290" t="str">
        <f>"CSP ES PANTHEON"</f>
        <v>CSP ES PANTHEON</v>
      </c>
      <c r="F1290" t="str">
        <f>"3 RUE DE LEMBARCADÈRE"</f>
        <v>3 RUE DE LEMBARCADÈRE</v>
      </c>
      <c r="H1290" t="str">
        <f>"60500"</f>
        <v>60500</v>
      </c>
      <c r="I1290" t="str">
        <f>"CHANTILLY"</f>
        <v>CHANTILLY</v>
      </c>
      <c r="L1290" s="1">
        <v>43678</v>
      </c>
      <c r="M1290" t="str">
        <f t="shared" si="220"/>
        <v>124</v>
      </c>
      <c r="N1290" t="str">
        <f t="shared" si="221"/>
        <v>Centre de Santé</v>
      </c>
      <c r="O1290" t="str">
        <f>"61"</f>
        <v>61</v>
      </c>
      <c r="P1290" t="str">
        <f>"Association Loi 1901 Reconnue d'Utilité Publique"</f>
        <v>Association Loi 1901 Reconnue d'Utilité Publique</v>
      </c>
      <c r="Q1290" t="str">
        <f t="shared" si="218"/>
        <v>36</v>
      </c>
      <c r="R1290" t="str">
        <f t="shared" si="219"/>
        <v>Tarifs conventionnels assurance maladie</v>
      </c>
      <c r="U1290" t="str">
        <f>"600014716"</f>
        <v>600014716</v>
      </c>
    </row>
    <row r="1291" spans="1:21" x14ac:dyDescent="0.3">
      <c r="A1291" t="str">
        <f>"950044651"</f>
        <v>950044651</v>
      </c>
      <c r="B1291" t="str">
        <f>"851 641 472 00010"</f>
        <v>851 641 472 00010</v>
      </c>
      <c r="D1291" t="str">
        <f>"CDS MEDICAL ET OPHTALMOLOGIE ENGHIEN"</f>
        <v>CDS MEDICAL ET OPHTALMOLOGIE ENGHIEN</v>
      </c>
      <c r="F1291" t="str">
        <f>"6 RUE DU GENERAL DE GAULLE"</f>
        <v>6 RUE DU GENERAL DE GAULLE</v>
      </c>
      <c r="H1291" t="str">
        <f>"95880"</f>
        <v>95880</v>
      </c>
      <c r="I1291" t="str">
        <f>"ENGHIEN LES BAINS"</f>
        <v>ENGHIEN LES BAINS</v>
      </c>
      <c r="L1291" s="1">
        <v>43670</v>
      </c>
      <c r="M1291" t="str">
        <f t="shared" si="220"/>
        <v>124</v>
      </c>
      <c r="N1291" t="str">
        <f t="shared" si="221"/>
        <v>Centre de Santé</v>
      </c>
      <c r="O1291" t="str">
        <f>"60"</f>
        <v>60</v>
      </c>
      <c r="P1291" t="str">
        <f>"Association Loi 1901 non Reconnue d'Utilité Publique"</f>
        <v>Association Loi 1901 non Reconnue d'Utilité Publique</v>
      </c>
      <c r="Q1291" t="str">
        <f t="shared" si="218"/>
        <v>36</v>
      </c>
      <c r="R1291" t="str">
        <f t="shared" si="219"/>
        <v>Tarifs conventionnels assurance maladie</v>
      </c>
      <c r="U1291" t="str">
        <f>"950044644"</f>
        <v>950044644</v>
      </c>
    </row>
    <row r="1292" spans="1:21" x14ac:dyDescent="0.3">
      <c r="A1292" t="str">
        <f>"290036912"</f>
        <v>290036912</v>
      </c>
      <c r="D1292" t="str">
        <f>"CDS ST-THEGONNEC"</f>
        <v>CDS ST-THEGONNEC</v>
      </c>
      <c r="E1292" t="str">
        <f>"POLE DE SANTE"</f>
        <v>POLE DE SANTE</v>
      </c>
      <c r="F1292" t="str">
        <f>"3 PARK AN ILIZ"</f>
        <v>3 PARK AN ILIZ</v>
      </c>
      <c r="H1292" t="str">
        <f>"29410"</f>
        <v>29410</v>
      </c>
      <c r="I1292" t="str">
        <f>"ST THEGONNEC LOC EGUINER"</f>
        <v>ST THEGONNEC LOC EGUINER</v>
      </c>
      <c r="L1292" s="1">
        <v>43665</v>
      </c>
      <c r="M1292" t="str">
        <f t="shared" si="220"/>
        <v>124</v>
      </c>
      <c r="N1292" t="str">
        <f t="shared" si="221"/>
        <v>Centre de Santé</v>
      </c>
      <c r="O1292" t="str">
        <f>"63"</f>
        <v>63</v>
      </c>
      <c r="P1292" t="str">
        <f>"Fondation"</f>
        <v>Fondation</v>
      </c>
      <c r="Q1292" t="str">
        <f t="shared" si="218"/>
        <v>36</v>
      </c>
      <c r="R1292" t="str">
        <f t="shared" si="219"/>
        <v>Tarifs conventionnels assurance maladie</v>
      </c>
      <c r="U1292" t="str">
        <f>"290000546"</f>
        <v>290000546</v>
      </c>
    </row>
    <row r="1293" spans="1:21" x14ac:dyDescent="0.3">
      <c r="A1293" t="str">
        <f>"010011468"</f>
        <v>010011468</v>
      </c>
      <c r="B1293" t="str">
        <f>"839 963 360 00012"</f>
        <v>839 963 360 00012</v>
      </c>
      <c r="D1293" t="str">
        <f>"CENTRE DE SANTE FERNEY-VOLTAIRE"</f>
        <v>CENTRE DE SANTE FERNEY-VOLTAIRE</v>
      </c>
      <c r="F1293" t="str">
        <f>"26 AVENUE VOLTAIRE"</f>
        <v>26 AVENUE VOLTAIRE</v>
      </c>
      <c r="H1293" t="str">
        <f>"01210"</f>
        <v>01210</v>
      </c>
      <c r="I1293" t="str">
        <f>"FERNEY VOLTAIRE"</f>
        <v>FERNEY VOLTAIRE</v>
      </c>
      <c r="J1293" t="str">
        <f>"09 75 18 57 83 "</f>
        <v xml:space="preserve">09 75 18 57 83 </v>
      </c>
      <c r="L1293" s="1">
        <v>43661</v>
      </c>
      <c r="M1293" t="str">
        <f t="shared" si="220"/>
        <v>124</v>
      </c>
      <c r="N1293" t="str">
        <f t="shared" si="221"/>
        <v>Centre de Santé</v>
      </c>
      <c r="O1293" t="str">
        <f>"60"</f>
        <v>60</v>
      </c>
      <c r="P1293" t="str">
        <f>"Association Loi 1901 non Reconnue d'Utilité Publique"</f>
        <v>Association Loi 1901 non Reconnue d'Utilité Publique</v>
      </c>
      <c r="Q1293" t="str">
        <f t="shared" si="218"/>
        <v>36</v>
      </c>
      <c r="R1293" t="str">
        <f t="shared" si="219"/>
        <v>Tarifs conventionnels assurance maladie</v>
      </c>
      <c r="U1293" t="str">
        <f>"010011450"</f>
        <v>010011450</v>
      </c>
    </row>
    <row r="1294" spans="1:21" x14ac:dyDescent="0.3">
      <c r="A1294" t="str">
        <f>"420016099"</f>
        <v>420016099</v>
      </c>
      <c r="B1294" t="str">
        <f>"775 602 436 01003"</f>
        <v>775 602 436 01003</v>
      </c>
      <c r="D1294" t="str">
        <f>"CENTRE DE SANTE DENTAIRE MFLSSAM FEURS"</f>
        <v>CENTRE DE SANTE DENTAIRE MFLSSAM FEURS</v>
      </c>
      <c r="F1294" t="str">
        <f>"4 RUE DES REMPARTS"</f>
        <v>4 RUE DES REMPARTS</v>
      </c>
      <c r="H1294" t="str">
        <f>"42110"</f>
        <v>42110</v>
      </c>
      <c r="I1294" t="str">
        <f>"FEURS"</f>
        <v>FEURS</v>
      </c>
      <c r="J1294" t="str">
        <f>"04 77 47 63 25 "</f>
        <v xml:space="preserve">04 77 47 63 25 </v>
      </c>
      <c r="L1294" s="1">
        <v>43661</v>
      </c>
      <c r="M1294" t="str">
        <f t="shared" si="220"/>
        <v>124</v>
      </c>
      <c r="N1294" t="str">
        <f t="shared" si="221"/>
        <v>Centre de Santé</v>
      </c>
      <c r="O1294" t="str">
        <f>"47"</f>
        <v>47</v>
      </c>
      <c r="P1294" t="str">
        <f>"Société Mutualiste"</f>
        <v>Société Mutualiste</v>
      </c>
      <c r="Q1294" t="str">
        <f t="shared" si="218"/>
        <v>36</v>
      </c>
      <c r="R1294" t="str">
        <f t="shared" si="219"/>
        <v>Tarifs conventionnels assurance maladie</v>
      </c>
      <c r="U1294" t="str">
        <f>"420787061"</f>
        <v>420787061</v>
      </c>
    </row>
    <row r="1295" spans="1:21" x14ac:dyDescent="0.3">
      <c r="A1295" t="str">
        <f>"340026798"</f>
        <v>340026798</v>
      </c>
      <c r="B1295" t="str">
        <f>"841 962 152 00028"</f>
        <v>841 962 152 00028</v>
      </c>
      <c r="D1295" t="str">
        <f>"CENTRE DE SANTÉ HUMAN SANTÉ"</f>
        <v>CENTRE DE SANTÉ HUMAN SANTÉ</v>
      </c>
      <c r="F1295" t="str">
        <f>"7 RUE RAOUX"</f>
        <v>7 RUE RAOUX</v>
      </c>
      <c r="H1295" t="str">
        <f>"34000"</f>
        <v>34000</v>
      </c>
      <c r="I1295" t="str">
        <f>"MONTPELLIER"</f>
        <v>MONTPELLIER</v>
      </c>
      <c r="J1295" t="str">
        <f>"04 67 58 70 26 "</f>
        <v xml:space="preserve">04 67 58 70 26 </v>
      </c>
      <c r="L1295" s="1">
        <v>43657</v>
      </c>
      <c r="M1295" t="str">
        <f t="shared" si="220"/>
        <v>124</v>
      </c>
      <c r="N1295" t="str">
        <f t="shared" si="221"/>
        <v>Centre de Santé</v>
      </c>
      <c r="O1295" t="str">
        <f>"60"</f>
        <v>60</v>
      </c>
      <c r="P1295" t="str">
        <f>"Association Loi 1901 non Reconnue d'Utilité Publique"</f>
        <v>Association Loi 1901 non Reconnue d'Utilité Publique</v>
      </c>
      <c r="Q1295" t="str">
        <f t="shared" si="218"/>
        <v>36</v>
      </c>
      <c r="R1295" t="str">
        <f t="shared" si="219"/>
        <v>Tarifs conventionnels assurance maladie</v>
      </c>
      <c r="U1295" t="str">
        <f>"340026780"</f>
        <v>340026780</v>
      </c>
    </row>
    <row r="1296" spans="1:21" x14ac:dyDescent="0.3">
      <c r="A1296" t="str">
        <f>"130047871"</f>
        <v>130047871</v>
      </c>
      <c r="D1296" t="str">
        <f>"CDS CLINADENT 04 SEPTEMBRE"</f>
        <v>CDS CLINADENT 04 SEPTEMBRE</v>
      </c>
      <c r="F1296" t="str">
        <f>"1 PLACE DU QUATRE SEPTEMBRE"</f>
        <v>1 PLACE DU QUATRE SEPTEMBRE</v>
      </c>
      <c r="H1296" t="str">
        <f>"13007"</f>
        <v>13007</v>
      </c>
      <c r="I1296" t="str">
        <f>"MARSEILLE"</f>
        <v>MARSEILLE</v>
      </c>
      <c r="L1296" s="1">
        <v>43651</v>
      </c>
      <c r="M1296" t="str">
        <f t="shared" si="220"/>
        <v>124</v>
      </c>
      <c r="N1296" t="str">
        <f t="shared" si="221"/>
        <v>Centre de Santé</v>
      </c>
      <c r="O1296" t="str">
        <f>"61"</f>
        <v>61</v>
      </c>
      <c r="P1296" t="str">
        <f>"Association Loi 1901 Reconnue d'Utilité Publique"</f>
        <v>Association Loi 1901 Reconnue d'Utilité Publique</v>
      </c>
      <c r="Q1296" t="str">
        <f t="shared" si="218"/>
        <v>36</v>
      </c>
      <c r="R1296" t="str">
        <f t="shared" si="219"/>
        <v>Tarifs conventionnels assurance maladie</v>
      </c>
      <c r="U1296" t="str">
        <f>"130047863"</f>
        <v>130047863</v>
      </c>
    </row>
    <row r="1297" spans="1:21" x14ac:dyDescent="0.3">
      <c r="A1297" t="str">
        <f>"600015242"</f>
        <v>600015242</v>
      </c>
      <c r="B1297" t="str">
        <f>"879 209 914 00016"</f>
        <v>879 209 914 00016</v>
      </c>
      <c r="D1297" t="str">
        <f>"DENTALACTIVE"</f>
        <v>DENTALACTIVE</v>
      </c>
      <c r="F1297" t="str">
        <f>"6 RUE GAMBETTA"</f>
        <v>6 RUE GAMBETTA</v>
      </c>
      <c r="H1297" t="str">
        <f>"60000"</f>
        <v>60000</v>
      </c>
      <c r="I1297" t="str">
        <f>"BEAUVAIS"</f>
        <v>BEAUVAIS</v>
      </c>
      <c r="J1297" t="str">
        <f>"03 44 05 02 26 "</f>
        <v xml:space="preserve">03 44 05 02 26 </v>
      </c>
      <c r="L1297" s="1">
        <v>43649</v>
      </c>
      <c r="M1297" t="str">
        <f t="shared" si="220"/>
        <v>124</v>
      </c>
      <c r="N1297" t="str">
        <f t="shared" si="221"/>
        <v>Centre de Santé</v>
      </c>
      <c r="O1297" t="str">
        <f>"61"</f>
        <v>61</v>
      </c>
      <c r="P1297" t="str">
        <f>"Association Loi 1901 Reconnue d'Utilité Publique"</f>
        <v>Association Loi 1901 Reconnue d'Utilité Publique</v>
      </c>
      <c r="Q1297" t="str">
        <f t="shared" si="218"/>
        <v>36</v>
      </c>
      <c r="R1297" t="str">
        <f t="shared" si="219"/>
        <v>Tarifs conventionnels assurance maladie</v>
      </c>
      <c r="U1297" t="str">
        <f>"600015234"</f>
        <v>600015234</v>
      </c>
    </row>
    <row r="1298" spans="1:21" x14ac:dyDescent="0.3">
      <c r="A1298" t="str">
        <f>"690045240"</f>
        <v>690045240</v>
      </c>
      <c r="B1298" t="str">
        <f>"779 866 110 00082"</f>
        <v>779 866 110 00082</v>
      </c>
      <c r="D1298" t="str">
        <f>"CENTRE DE SANTE FDGL GERLAND"</f>
        <v>CENTRE DE SANTE FDGL GERLAND</v>
      </c>
      <c r="F1298" t="str">
        <f>"5 ESPACE HENRI VALLEE"</f>
        <v>5 ESPACE HENRI VALLEE</v>
      </c>
      <c r="H1298" t="str">
        <f>"69007"</f>
        <v>69007</v>
      </c>
      <c r="I1298" t="str">
        <f>"LYON"</f>
        <v>LYON</v>
      </c>
      <c r="J1298" t="str">
        <f>"04 72 13 07 07 "</f>
        <v xml:space="preserve">04 72 13 07 07 </v>
      </c>
      <c r="L1298" s="1">
        <v>43649</v>
      </c>
      <c r="M1298" t="str">
        <f t="shared" si="220"/>
        <v>124</v>
      </c>
      <c r="N1298" t="str">
        <f t="shared" si="221"/>
        <v>Centre de Santé</v>
      </c>
      <c r="O1298" t="str">
        <f>"63"</f>
        <v>63</v>
      </c>
      <c r="P1298" t="str">
        <f>"Fondation"</f>
        <v>Fondation</v>
      </c>
      <c r="Q1298" t="str">
        <f t="shared" si="218"/>
        <v>36</v>
      </c>
      <c r="R1298" t="str">
        <f t="shared" si="219"/>
        <v>Tarifs conventionnels assurance maladie</v>
      </c>
      <c r="U1298" t="str">
        <f>"690793278"</f>
        <v>690793278</v>
      </c>
    </row>
    <row r="1299" spans="1:21" x14ac:dyDescent="0.3">
      <c r="A1299" t="str">
        <f>"370014334"</f>
        <v>370014334</v>
      </c>
      <c r="B1299" t="str">
        <f>"775 347 891 01306"</f>
        <v>775 347 891 01306</v>
      </c>
      <c r="D1299" t="str">
        <f>"CTRE SANTE DENTAIRE MUTUALISTE-AMBOISE"</f>
        <v>CTRE SANTE DENTAIRE MUTUALISTE-AMBOISE</v>
      </c>
      <c r="F1299" t="str">
        <f>"43 QUAI CHARLES GUINOT"</f>
        <v>43 QUAI CHARLES GUINOT</v>
      </c>
      <c r="H1299" t="str">
        <f>"37400"</f>
        <v>37400</v>
      </c>
      <c r="I1299" t="str">
        <f>"AMBOISE"</f>
        <v>AMBOISE</v>
      </c>
      <c r="J1299" t="str">
        <f>"02 85 29 68 88 "</f>
        <v xml:space="preserve">02 85 29 68 88 </v>
      </c>
      <c r="K1299" t="str">
        <f>"02 85 29 68 87"</f>
        <v>02 85 29 68 87</v>
      </c>
      <c r="L1299" s="1">
        <v>43647</v>
      </c>
      <c r="M1299" t="str">
        <f t="shared" si="220"/>
        <v>124</v>
      </c>
      <c r="N1299" t="str">
        <f t="shared" si="221"/>
        <v>Centre de Santé</v>
      </c>
      <c r="O1299" t="str">
        <f>"47"</f>
        <v>47</v>
      </c>
      <c r="P1299" t="str">
        <f>"Société Mutualiste"</f>
        <v>Société Mutualiste</v>
      </c>
      <c r="Q1299" t="str">
        <f t="shared" si="218"/>
        <v>36</v>
      </c>
      <c r="R1299" t="str">
        <f t="shared" si="219"/>
        <v>Tarifs conventionnels assurance maladie</v>
      </c>
      <c r="U1299" t="str">
        <f>"370100935"</f>
        <v>370100935</v>
      </c>
    </row>
    <row r="1300" spans="1:21" x14ac:dyDescent="0.3">
      <c r="A1300" t="str">
        <f>"690045109"</f>
        <v>690045109</v>
      </c>
      <c r="B1300" t="str">
        <f>"847 608 700 00013"</f>
        <v>847 608 700 00013</v>
      </c>
      <c r="D1300" t="str">
        <f>"CENTRE DE SANTE MED-DENTAIRE DES ETATS"</f>
        <v>CENTRE DE SANTE MED-DENTAIRE DES ETATS</v>
      </c>
      <c r="F1300" t="str">
        <f>"5 RUE PROFESSEUR TAVERNIER"</f>
        <v>5 RUE PROFESSEUR TAVERNIER</v>
      </c>
      <c r="H1300" t="str">
        <f>"69008"</f>
        <v>69008</v>
      </c>
      <c r="I1300" t="str">
        <f>"LYON"</f>
        <v>LYON</v>
      </c>
      <c r="J1300" t="str">
        <f>"04 81 91 90 20 "</f>
        <v xml:space="preserve">04 81 91 90 20 </v>
      </c>
      <c r="L1300" s="1">
        <v>43646</v>
      </c>
      <c r="M1300" t="str">
        <f t="shared" si="220"/>
        <v>124</v>
      </c>
      <c r="N1300" t="str">
        <f t="shared" si="221"/>
        <v>Centre de Santé</v>
      </c>
      <c r="O1300" t="str">
        <f t="shared" ref="O1300:O1305" si="222">"60"</f>
        <v>60</v>
      </c>
      <c r="P1300" t="str">
        <f t="shared" ref="P1300:P1305" si="223">"Association Loi 1901 non Reconnue d'Utilité Publique"</f>
        <v>Association Loi 1901 non Reconnue d'Utilité Publique</v>
      </c>
      <c r="Q1300" t="str">
        <f t="shared" si="218"/>
        <v>36</v>
      </c>
      <c r="R1300" t="str">
        <f t="shared" si="219"/>
        <v>Tarifs conventionnels assurance maladie</v>
      </c>
      <c r="U1300" t="str">
        <f>"690045091"</f>
        <v>690045091</v>
      </c>
    </row>
    <row r="1301" spans="1:21" x14ac:dyDescent="0.3">
      <c r="A1301" t="str">
        <f>"710016056"</f>
        <v>710016056</v>
      </c>
      <c r="D1301" t="str">
        <f>"CENTRE DENTAIRE DU CHALONNAIS"</f>
        <v>CENTRE DENTAIRE DU CHALONNAIS</v>
      </c>
      <c r="F1301" t="str">
        <f>"3 PLACE FRANCOIS MITTERAND"</f>
        <v>3 PLACE FRANCOIS MITTERAND</v>
      </c>
      <c r="H1301" t="str">
        <f>"71530"</f>
        <v>71530</v>
      </c>
      <c r="I1301" t="str">
        <f>"CHAMPFORGEUIL"</f>
        <v>CHAMPFORGEUIL</v>
      </c>
      <c r="L1301" s="1">
        <v>43644</v>
      </c>
      <c r="M1301" t="str">
        <f t="shared" si="220"/>
        <v>124</v>
      </c>
      <c r="N1301" t="str">
        <f t="shared" si="221"/>
        <v>Centre de Santé</v>
      </c>
      <c r="O1301" t="str">
        <f t="shared" si="222"/>
        <v>60</v>
      </c>
      <c r="P1301" t="str">
        <f t="shared" si="223"/>
        <v>Association Loi 1901 non Reconnue d'Utilité Publique</v>
      </c>
      <c r="Q1301" t="str">
        <f t="shared" si="218"/>
        <v>36</v>
      </c>
      <c r="R1301" t="str">
        <f t="shared" si="219"/>
        <v>Tarifs conventionnels assurance maladie</v>
      </c>
      <c r="U1301" t="str">
        <f>"710016049"</f>
        <v>710016049</v>
      </c>
    </row>
    <row r="1302" spans="1:21" x14ac:dyDescent="0.3">
      <c r="A1302" t="str">
        <f>"750063760"</f>
        <v>750063760</v>
      </c>
      <c r="D1302" t="str">
        <f>"CDS DENTAIRE HAUSSMANN"</f>
        <v>CDS DENTAIRE HAUSSMANN</v>
      </c>
      <c r="F1302" t="str">
        <f>"162 BOULEVARD HAUSSMANN"</f>
        <v>162 BOULEVARD HAUSSMANN</v>
      </c>
      <c r="H1302" t="str">
        <f>"75008"</f>
        <v>75008</v>
      </c>
      <c r="I1302" t="str">
        <f>"PARIS"</f>
        <v>PARIS</v>
      </c>
      <c r="L1302" s="1">
        <v>43644</v>
      </c>
      <c r="M1302" t="str">
        <f t="shared" si="220"/>
        <v>124</v>
      </c>
      <c r="N1302" t="str">
        <f t="shared" si="221"/>
        <v>Centre de Santé</v>
      </c>
      <c r="O1302" t="str">
        <f t="shared" si="222"/>
        <v>60</v>
      </c>
      <c r="P1302" t="str">
        <f t="shared" si="223"/>
        <v>Association Loi 1901 non Reconnue d'Utilité Publique</v>
      </c>
      <c r="Q1302" t="str">
        <f t="shared" si="218"/>
        <v>36</v>
      </c>
      <c r="R1302" t="str">
        <f t="shared" si="219"/>
        <v>Tarifs conventionnels assurance maladie</v>
      </c>
      <c r="U1302" t="str">
        <f>"750063737"</f>
        <v>750063737</v>
      </c>
    </row>
    <row r="1303" spans="1:21" x14ac:dyDescent="0.3">
      <c r="A1303" t="str">
        <f>"920033883"</f>
        <v>920033883</v>
      </c>
      <c r="D1303" t="str">
        <f>"CDS DENTAIRE LEVALLOIS"</f>
        <v>CDS DENTAIRE LEVALLOIS</v>
      </c>
      <c r="F1303" t="str">
        <f>"68 RUE ARISTIDE BRIAND"</f>
        <v>68 RUE ARISTIDE BRIAND</v>
      </c>
      <c r="H1303" t="str">
        <f>"92300"</f>
        <v>92300</v>
      </c>
      <c r="I1303" t="str">
        <f>"LEVALLOIS PERRET"</f>
        <v>LEVALLOIS PERRET</v>
      </c>
      <c r="L1303" s="1">
        <v>43644</v>
      </c>
      <c r="M1303" t="str">
        <f t="shared" si="220"/>
        <v>124</v>
      </c>
      <c r="N1303" t="str">
        <f t="shared" si="221"/>
        <v>Centre de Santé</v>
      </c>
      <c r="O1303" t="str">
        <f t="shared" si="222"/>
        <v>60</v>
      </c>
      <c r="P1303" t="str">
        <f t="shared" si="223"/>
        <v>Association Loi 1901 non Reconnue d'Utilité Publique</v>
      </c>
      <c r="Q1303" t="str">
        <f t="shared" ref="Q1303:Q1334" si="224">"36"</f>
        <v>36</v>
      </c>
      <c r="R1303" t="str">
        <f t="shared" ref="R1303:R1334" si="225">"Tarifs conventionnels assurance maladie"</f>
        <v>Tarifs conventionnels assurance maladie</v>
      </c>
      <c r="U1303" t="str">
        <f>"930028980"</f>
        <v>930028980</v>
      </c>
    </row>
    <row r="1304" spans="1:21" x14ac:dyDescent="0.3">
      <c r="A1304" t="str">
        <f>"950044628"</f>
        <v>950044628</v>
      </c>
      <c r="B1304" t="str">
        <f>"848 492 443 00017"</f>
        <v>848 492 443 00017</v>
      </c>
      <c r="D1304" t="str">
        <f>"CDS DENTAIRE LOUISE"</f>
        <v>CDS DENTAIRE LOUISE</v>
      </c>
      <c r="E1304" t="str">
        <f>"36/44"</f>
        <v>36/44</v>
      </c>
      <c r="F1304" t="str">
        <f>"36 AVENUE FREDERIC JOLIOT CURIE"</f>
        <v>36 AVENUE FREDERIC JOLIOT CURIE</v>
      </c>
      <c r="H1304" t="str">
        <f>"95140"</f>
        <v>95140</v>
      </c>
      <c r="I1304" t="str">
        <f>"GARGES LES GONESSE"</f>
        <v>GARGES LES GONESSE</v>
      </c>
      <c r="L1304" s="1">
        <v>43644</v>
      </c>
      <c r="M1304" t="str">
        <f t="shared" si="220"/>
        <v>124</v>
      </c>
      <c r="N1304" t="str">
        <f t="shared" si="221"/>
        <v>Centre de Santé</v>
      </c>
      <c r="O1304" t="str">
        <f t="shared" si="222"/>
        <v>60</v>
      </c>
      <c r="P1304" t="str">
        <f t="shared" si="223"/>
        <v>Association Loi 1901 non Reconnue d'Utilité Publique</v>
      </c>
      <c r="Q1304" t="str">
        <f t="shared" si="224"/>
        <v>36</v>
      </c>
      <c r="R1304" t="str">
        <f t="shared" si="225"/>
        <v>Tarifs conventionnels assurance maladie</v>
      </c>
      <c r="U1304" t="str">
        <f>"950044594"</f>
        <v>950044594</v>
      </c>
    </row>
    <row r="1305" spans="1:21" x14ac:dyDescent="0.3">
      <c r="A1305" t="str">
        <f>"750063778"</f>
        <v>750063778</v>
      </c>
      <c r="B1305" t="str">
        <f>"848 899 639 00019"</f>
        <v>848 899 639 00019</v>
      </c>
      <c r="D1305" t="str">
        <f>"CDS DENTAIRE ORTEAUX MARAICHERS"</f>
        <v>CDS DENTAIRE ORTEAUX MARAICHERS</v>
      </c>
      <c r="F1305" t="str">
        <f>"99 RUE DES ORTEAUX"</f>
        <v>99 RUE DES ORTEAUX</v>
      </c>
      <c r="H1305" t="str">
        <f>"75020"</f>
        <v>75020</v>
      </c>
      <c r="I1305" t="str">
        <f>"PARIS"</f>
        <v>PARIS</v>
      </c>
      <c r="L1305" s="1">
        <v>43642</v>
      </c>
      <c r="M1305" t="str">
        <f t="shared" si="220"/>
        <v>124</v>
      </c>
      <c r="N1305" t="str">
        <f t="shared" si="221"/>
        <v>Centre de Santé</v>
      </c>
      <c r="O1305" t="str">
        <f t="shared" si="222"/>
        <v>60</v>
      </c>
      <c r="P1305" t="str">
        <f t="shared" si="223"/>
        <v>Association Loi 1901 non Reconnue d'Utilité Publique</v>
      </c>
      <c r="Q1305" t="str">
        <f t="shared" si="224"/>
        <v>36</v>
      </c>
      <c r="R1305" t="str">
        <f t="shared" si="225"/>
        <v>Tarifs conventionnels assurance maladie</v>
      </c>
      <c r="U1305" t="str">
        <f>"750063729"</f>
        <v>750063729</v>
      </c>
    </row>
    <row r="1306" spans="1:21" x14ac:dyDescent="0.3">
      <c r="A1306" t="str">
        <f>"060029584"</f>
        <v>060029584</v>
      </c>
      <c r="B1306" t="str">
        <f>"843 736 877 00021"</f>
        <v>843 736 877 00021</v>
      </c>
      <c r="D1306" t="str">
        <f>"CDS MEDICAL ET DENTAIRE"</f>
        <v>CDS MEDICAL ET DENTAIRE</v>
      </c>
      <c r="F1306" t="str">
        <f>"39 BOULEVARD DUBOUCHAGE"</f>
        <v>39 BOULEVARD DUBOUCHAGE</v>
      </c>
      <c r="H1306" t="str">
        <f>"06000"</f>
        <v>06000</v>
      </c>
      <c r="I1306" t="str">
        <f>"NICE"</f>
        <v>NICE</v>
      </c>
      <c r="L1306" s="1">
        <v>43636</v>
      </c>
      <c r="M1306" t="str">
        <f t="shared" si="220"/>
        <v>124</v>
      </c>
      <c r="N1306" t="str">
        <f t="shared" si="221"/>
        <v>Centre de Santé</v>
      </c>
      <c r="O1306" t="str">
        <f>"61"</f>
        <v>61</v>
      </c>
      <c r="P1306" t="str">
        <f>"Association Loi 1901 Reconnue d'Utilité Publique"</f>
        <v>Association Loi 1901 Reconnue d'Utilité Publique</v>
      </c>
      <c r="Q1306" t="str">
        <f t="shared" si="224"/>
        <v>36</v>
      </c>
      <c r="R1306" t="str">
        <f t="shared" si="225"/>
        <v>Tarifs conventionnels assurance maladie</v>
      </c>
      <c r="U1306" t="str">
        <f>"060029576"</f>
        <v>060029576</v>
      </c>
    </row>
    <row r="1307" spans="1:21" x14ac:dyDescent="0.3">
      <c r="A1307" t="str">
        <f>"770022663"</f>
        <v>770022663</v>
      </c>
      <c r="B1307" t="str">
        <f>"844 102 590 00016"</f>
        <v>844 102 590 00016</v>
      </c>
      <c r="D1307" t="str">
        <f>"CDS  DENTALIGN VAL D'EUROPE"</f>
        <v>CDS  DENTALIGN VAL D'EUROPE</v>
      </c>
      <c r="F1307" t="str">
        <f>"7 BOULEVARD MICHAEL FARADAY"</f>
        <v>7 BOULEVARD MICHAEL FARADAY</v>
      </c>
      <c r="H1307" t="str">
        <f>"77700"</f>
        <v>77700</v>
      </c>
      <c r="I1307" t="str">
        <f>"SERRIS"</f>
        <v>SERRIS</v>
      </c>
      <c r="L1307" s="1">
        <v>43636</v>
      </c>
      <c r="M1307" t="str">
        <f t="shared" si="220"/>
        <v>124</v>
      </c>
      <c r="N1307" t="str">
        <f t="shared" si="221"/>
        <v>Centre de Santé</v>
      </c>
      <c r="O1307" t="str">
        <f>"60"</f>
        <v>60</v>
      </c>
      <c r="P1307" t="str">
        <f>"Association Loi 1901 non Reconnue d'Utilité Publique"</f>
        <v>Association Loi 1901 non Reconnue d'Utilité Publique</v>
      </c>
      <c r="Q1307" t="str">
        <f t="shared" si="224"/>
        <v>36</v>
      </c>
      <c r="R1307" t="str">
        <f t="shared" si="225"/>
        <v>Tarifs conventionnels assurance maladie</v>
      </c>
      <c r="U1307" t="str">
        <f>"770022648"</f>
        <v>770022648</v>
      </c>
    </row>
    <row r="1308" spans="1:21" x14ac:dyDescent="0.3">
      <c r="A1308" t="str">
        <f>"930028642"</f>
        <v>930028642</v>
      </c>
      <c r="B1308" t="str">
        <f>"842 189 763 00019"</f>
        <v>842 189 763 00019</v>
      </c>
      <c r="D1308" t="str">
        <f>"CDS MEDICO-DENTAIRE DE LA GARE"</f>
        <v>CDS MEDICO-DENTAIRE DE LA GARE</v>
      </c>
      <c r="F1308" t="str">
        <f>"58 AVENUE DU RAINCY"</f>
        <v>58 AVENUE DU RAINCY</v>
      </c>
      <c r="H1308" t="str">
        <f>"93250"</f>
        <v>93250</v>
      </c>
      <c r="I1308" t="str">
        <f>"VILLEMOMBLE"</f>
        <v>VILLEMOMBLE</v>
      </c>
      <c r="L1308" s="1">
        <v>43634</v>
      </c>
      <c r="M1308" t="str">
        <f t="shared" si="220"/>
        <v>124</v>
      </c>
      <c r="N1308" t="str">
        <f t="shared" si="221"/>
        <v>Centre de Santé</v>
      </c>
      <c r="O1308" t="str">
        <f>"60"</f>
        <v>60</v>
      </c>
      <c r="P1308" t="str">
        <f>"Association Loi 1901 non Reconnue d'Utilité Publique"</f>
        <v>Association Loi 1901 non Reconnue d'Utilité Publique</v>
      </c>
      <c r="Q1308" t="str">
        <f t="shared" si="224"/>
        <v>36</v>
      </c>
      <c r="R1308" t="str">
        <f t="shared" si="225"/>
        <v>Tarifs conventionnels assurance maladie</v>
      </c>
      <c r="U1308" t="str">
        <f>"930028626"</f>
        <v>930028626</v>
      </c>
    </row>
    <row r="1309" spans="1:21" x14ac:dyDescent="0.3">
      <c r="A1309" t="str">
        <f>"920033800"</f>
        <v>920033800</v>
      </c>
      <c r="B1309" t="str">
        <f>"848 487 989 00016"</f>
        <v>848 487 989 00016</v>
      </c>
      <c r="D1309" t="str">
        <f>"CDS DENTAIRE BOULOGNE JEAN JAURES"</f>
        <v>CDS DENTAIRE BOULOGNE JEAN JAURES</v>
      </c>
      <c r="F1309" t="str">
        <f>"244 BOULEVARD JEAN JAURES"</f>
        <v>244 BOULEVARD JEAN JAURES</v>
      </c>
      <c r="H1309" t="str">
        <f>"92100"</f>
        <v>92100</v>
      </c>
      <c r="I1309" t="str">
        <f>"BOULOGNE BILLANCOURT"</f>
        <v>BOULOGNE BILLANCOURT</v>
      </c>
      <c r="L1309" s="1">
        <v>43633</v>
      </c>
      <c r="M1309" t="str">
        <f t="shared" si="220"/>
        <v>124</v>
      </c>
      <c r="N1309" t="str">
        <f t="shared" si="221"/>
        <v>Centre de Santé</v>
      </c>
      <c r="O1309" t="str">
        <f>"60"</f>
        <v>60</v>
      </c>
      <c r="P1309" t="str">
        <f>"Association Loi 1901 non Reconnue d'Utilité Publique"</f>
        <v>Association Loi 1901 non Reconnue d'Utilité Publique</v>
      </c>
      <c r="Q1309" t="str">
        <f t="shared" si="224"/>
        <v>36</v>
      </c>
      <c r="R1309" t="str">
        <f t="shared" si="225"/>
        <v>Tarifs conventionnels assurance maladie</v>
      </c>
      <c r="U1309" t="str">
        <f>"920033651"</f>
        <v>920033651</v>
      </c>
    </row>
    <row r="1310" spans="1:21" x14ac:dyDescent="0.3">
      <c r="A1310" t="str">
        <f>"920033867"</f>
        <v>920033867</v>
      </c>
      <c r="B1310" t="str">
        <f>"848 896 585 00017"</f>
        <v>848 896 585 00017</v>
      </c>
      <c r="D1310" t="str">
        <f>"CDS DENTAIRE NEUILLY CHARLES DE GAULLE"</f>
        <v>CDS DENTAIRE NEUILLY CHARLES DE GAULLE</v>
      </c>
      <c r="E1310" t="str">
        <f>"163/165"</f>
        <v>163/165</v>
      </c>
      <c r="F1310" t="str">
        <f>"163 AVENUE CHARLES DE GAULLE"</f>
        <v>163 AVENUE CHARLES DE GAULLE</v>
      </c>
      <c r="H1310" t="str">
        <f>"92200"</f>
        <v>92200</v>
      </c>
      <c r="I1310" t="str">
        <f>"NEUILLY SUR SEINE"</f>
        <v>NEUILLY SUR SEINE</v>
      </c>
      <c r="L1310" s="1">
        <v>43633</v>
      </c>
      <c r="M1310" t="str">
        <f t="shared" si="220"/>
        <v>124</v>
      </c>
      <c r="N1310" t="str">
        <f t="shared" si="221"/>
        <v>Centre de Santé</v>
      </c>
      <c r="O1310" t="str">
        <f>"60"</f>
        <v>60</v>
      </c>
      <c r="P1310" t="str">
        <f>"Association Loi 1901 non Reconnue d'Utilité Publique"</f>
        <v>Association Loi 1901 non Reconnue d'Utilité Publique</v>
      </c>
      <c r="Q1310" t="str">
        <f t="shared" si="224"/>
        <v>36</v>
      </c>
      <c r="R1310" t="str">
        <f t="shared" si="225"/>
        <v>Tarifs conventionnels assurance maladie</v>
      </c>
      <c r="U1310" t="str">
        <f>"920033602"</f>
        <v>920033602</v>
      </c>
    </row>
    <row r="1311" spans="1:21" x14ac:dyDescent="0.3">
      <c r="A1311" t="str">
        <f>"930029020"</f>
        <v>930029020</v>
      </c>
      <c r="D1311" t="str">
        <f>"CDS MEDICO-DENTAIRE CODEM"</f>
        <v>CDS MEDICO-DENTAIRE CODEM</v>
      </c>
      <c r="E1311" t="str">
        <f>"42-44"</f>
        <v>42-44</v>
      </c>
      <c r="F1311" t="str">
        <f>"42 RUE DE LA RÉPUBLIQUE"</f>
        <v>42 RUE DE LA RÉPUBLIQUE</v>
      </c>
      <c r="H1311" t="str">
        <f>"93200"</f>
        <v>93200</v>
      </c>
      <c r="I1311" t="str">
        <f>"ST DENIS"</f>
        <v>ST DENIS</v>
      </c>
      <c r="L1311" s="1">
        <v>43633</v>
      </c>
      <c r="M1311" t="str">
        <f t="shared" si="220"/>
        <v>124</v>
      </c>
      <c r="N1311" t="str">
        <f t="shared" si="221"/>
        <v>Centre de Santé</v>
      </c>
      <c r="O1311" t="str">
        <f>"60"</f>
        <v>60</v>
      </c>
      <c r="P1311" t="str">
        <f>"Association Loi 1901 non Reconnue d'Utilité Publique"</f>
        <v>Association Loi 1901 non Reconnue d'Utilité Publique</v>
      </c>
      <c r="Q1311" t="str">
        <f t="shared" si="224"/>
        <v>36</v>
      </c>
      <c r="R1311" t="str">
        <f t="shared" si="225"/>
        <v>Tarifs conventionnels assurance maladie</v>
      </c>
      <c r="U1311" t="str">
        <f>"930028980"</f>
        <v>930028980</v>
      </c>
    </row>
    <row r="1312" spans="1:21" x14ac:dyDescent="0.3">
      <c r="A1312" t="str">
        <f>"750063711"</f>
        <v>750063711</v>
      </c>
      <c r="D1312" t="str">
        <f>"CDS DENTAIRE PONT CARDINET"</f>
        <v>CDS DENTAIRE PONT CARDINET</v>
      </c>
      <c r="F1312" t="str">
        <f>"3 PLACE FRANÇOISE DORIN"</f>
        <v>3 PLACE FRANÇOISE DORIN</v>
      </c>
      <c r="H1312" t="str">
        <f>"75017"</f>
        <v>75017</v>
      </c>
      <c r="I1312" t="str">
        <f>"PARIS"</f>
        <v>PARIS</v>
      </c>
      <c r="L1312" s="1">
        <v>43629</v>
      </c>
      <c r="M1312" t="str">
        <f t="shared" si="220"/>
        <v>124</v>
      </c>
      <c r="N1312" t="str">
        <f t="shared" si="221"/>
        <v>Centre de Santé</v>
      </c>
      <c r="O1312" t="str">
        <f>"61"</f>
        <v>61</v>
      </c>
      <c r="P1312" t="str">
        <f>"Association Loi 1901 Reconnue d'Utilité Publique"</f>
        <v>Association Loi 1901 Reconnue d'Utilité Publique</v>
      </c>
      <c r="Q1312" t="str">
        <f t="shared" si="224"/>
        <v>36</v>
      </c>
      <c r="R1312" t="str">
        <f t="shared" si="225"/>
        <v>Tarifs conventionnels assurance maladie</v>
      </c>
      <c r="U1312" t="str">
        <f>"750061566"</f>
        <v>750061566</v>
      </c>
    </row>
    <row r="1313" spans="1:21" x14ac:dyDescent="0.3">
      <c r="A1313" t="str">
        <f>"860015122"</f>
        <v>860015122</v>
      </c>
      <c r="B1313" t="str">
        <f>"850 833 526 00013"</f>
        <v>850 833 526 00013</v>
      </c>
      <c r="D1313" t="str">
        <f>"CENTRE DENTAIRE LATILLE"</f>
        <v>CENTRE DENTAIRE LATILLE</v>
      </c>
      <c r="F1313" t="str">
        <f>"2 RUE DES ALIZES"</f>
        <v>2 RUE DES ALIZES</v>
      </c>
      <c r="H1313" t="str">
        <f>"86190"</f>
        <v>86190</v>
      </c>
      <c r="I1313" t="str">
        <f>"LATILLE"</f>
        <v>LATILLE</v>
      </c>
      <c r="J1313" t="str">
        <f>"05 49 51 88 22 "</f>
        <v xml:space="preserve">05 49 51 88 22 </v>
      </c>
      <c r="L1313" s="1">
        <v>43629</v>
      </c>
      <c r="M1313" t="str">
        <f t="shared" si="220"/>
        <v>124</v>
      </c>
      <c r="N1313" t="str">
        <f t="shared" si="221"/>
        <v>Centre de Santé</v>
      </c>
      <c r="O1313" t="str">
        <f>"60"</f>
        <v>60</v>
      </c>
      <c r="P1313" t="str">
        <f>"Association Loi 1901 non Reconnue d'Utilité Publique"</f>
        <v>Association Loi 1901 non Reconnue d'Utilité Publique</v>
      </c>
      <c r="Q1313" t="str">
        <f t="shared" si="224"/>
        <v>36</v>
      </c>
      <c r="R1313" t="str">
        <f t="shared" si="225"/>
        <v>Tarifs conventionnels assurance maladie</v>
      </c>
      <c r="U1313" t="str">
        <f>"860015114"</f>
        <v>860015114</v>
      </c>
    </row>
    <row r="1314" spans="1:21" x14ac:dyDescent="0.3">
      <c r="A1314" t="str">
        <f>"210013306"</f>
        <v>210013306</v>
      </c>
      <c r="B1314" t="str">
        <f>"775 567 761 01940"</f>
        <v>775 567 761 01940</v>
      </c>
      <c r="D1314" t="str">
        <f>"CENTRE DE SANTE DENTAIRE"</f>
        <v>CENTRE DE SANTE DENTAIRE</v>
      </c>
      <c r="F1314" t="str">
        <f>"2 RUE DES ABEILLES"</f>
        <v>2 RUE DES ABEILLES</v>
      </c>
      <c r="H1314" t="str">
        <f>"21540"</f>
        <v>21540</v>
      </c>
      <c r="I1314" t="str">
        <f>"SOMBERNON"</f>
        <v>SOMBERNON</v>
      </c>
      <c r="L1314" s="1">
        <v>43627</v>
      </c>
      <c r="M1314" t="str">
        <f t="shared" si="220"/>
        <v>124</v>
      </c>
      <c r="N1314" t="str">
        <f t="shared" si="221"/>
        <v>Centre de Santé</v>
      </c>
      <c r="O1314" t="str">
        <f>"47"</f>
        <v>47</v>
      </c>
      <c r="P1314" t="str">
        <f>"Société Mutualiste"</f>
        <v>Société Mutualiste</v>
      </c>
      <c r="Q1314" t="str">
        <f t="shared" si="224"/>
        <v>36</v>
      </c>
      <c r="R1314" t="str">
        <f t="shared" si="225"/>
        <v>Tarifs conventionnels assurance maladie</v>
      </c>
      <c r="U1314" t="str">
        <f>"210781266"</f>
        <v>210781266</v>
      </c>
    </row>
    <row r="1315" spans="1:21" x14ac:dyDescent="0.3">
      <c r="A1315" t="str">
        <f>"310031208"</f>
        <v>310031208</v>
      </c>
      <c r="B1315" t="str">
        <f>"213 102 817 00011"</f>
        <v>213 102 817 00011</v>
      </c>
      <c r="D1315" t="str">
        <f>"CENTRE MUNICIPAL DE SANTE DE LAUNAC"</f>
        <v>CENTRE MUNICIPAL DE SANTE DE LAUNAC</v>
      </c>
      <c r="F1315" t="str">
        <f>"7 PROMENADE DES ANCIENS FOSSES"</f>
        <v>7 PROMENADE DES ANCIENS FOSSES</v>
      </c>
      <c r="H1315" t="str">
        <f>"31330"</f>
        <v>31330</v>
      </c>
      <c r="I1315" t="str">
        <f>"LAUNAC"</f>
        <v>LAUNAC</v>
      </c>
      <c r="J1315" t="str">
        <f>"05 61 85 40 43 "</f>
        <v xml:space="preserve">05 61 85 40 43 </v>
      </c>
      <c r="L1315" s="1">
        <v>43622</v>
      </c>
      <c r="M1315" t="str">
        <f t="shared" si="220"/>
        <v>124</v>
      </c>
      <c r="N1315" t="str">
        <f t="shared" si="221"/>
        <v>Centre de Santé</v>
      </c>
      <c r="O1315" t="str">
        <f>"03"</f>
        <v>03</v>
      </c>
      <c r="P1315" t="str">
        <f>"Commune"</f>
        <v>Commune</v>
      </c>
      <c r="Q1315" t="str">
        <f t="shared" si="224"/>
        <v>36</v>
      </c>
      <c r="R1315" t="str">
        <f t="shared" si="225"/>
        <v>Tarifs conventionnels assurance maladie</v>
      </c>
      <c r="U1315" t="str">
        <f>"310031190"</f>
        <v>310031190</v>
      </c>
    </row>
    <row r="1316" spans="1:21" x14ac:dyDescent="0.3">
      <c r="A1316" t="str">
        <f>"700005689"</f>
        <v>700005689</v>
      </c>
      <c r="B1316" t="str">
        <f>"792 174 856 00023"</f>
        <v>792 174 856 00023</v>
      </c>
      <c r="D1316" t="str">
        <f>"CENTRE SANTE INFIRMIERS ELIAD GRAY"</f>
        <v>CENTRE SANTE INFIRMIERS ELIAD GRAY</v>
      </c>
      <c r="F1316" t="str">
        <f>"RUE DES FRERES LUMIERE"</f>
        <v>RUE DES FRERES LUMIERE</v>
      </c>
      <c r="G1316" t="str">
        <f>"ZAC GRAY SUD"</f>
        <v>ZAC GRAY SUD</v>
      </c>
      <c r="H1316" t="str">
        <f>"70100"</f>
        <v>70100</v>
      </c>
      <c r="I1316" t="str">
        <f>"GRAY"</f>
        <v>GRAY</v>
      </c>
      <c r="J1316" t="str">
        <f>"03 84 64 93 80 "</f>
        <v xml:space="preserve">03 84 64 93 80 </v>
      </c>
      <c r="L1316" s="1">
        <v>43622</v>
      </c>
      <c r="M1316" t="str">
        <f t="shared" si="220"/>
        <v>124</v>
      </c>
      <c r="N1316" t="str">
        <f t="shared" si="221"/>
        <v>Centre de Santé</v>
      </c>
      <c r="O1316" t="str">
        <f t="shared" ref="O1316:O1323" si="226">"60"</f>
        <v>60</v>
      </c>
      <c r="P1316" t="str">
        <f t="shared" ref="P1316:P1323" si="227">"Association Loi 1901 non Reconnue d'Utilité Publique"</f>
        <v>Association Loi 1901 non Reconnue d'Utilité Publique</v>
      </c>
      <c r="Q1316" t="str">
        <f t="shared" si="224"/>
        <v>36</v>
      </c>
      <c r="R1316" t="str">
        <f t="shared" si="225"/>
        <v>Tarifs conventionnels assurance maladie</v>
      </c>
      <c r="U1316" t="str">
        <f>"250019510"</f>
        <v>250019510</v>
      </c>
    </row>
    <row r="1317" spans="1:21" x14ac:dyDescent="0.3">
      <c r="A1317" t="str">
        <f>"510025737"</f>
        <v>510025737</v>
      </c>
      <c r="B1317" t="str">
        <f>"847 810 124 00010"</f>
        <v>847 810 124 00010</v>
      </c>
      <c r="D1317" t="str">
        <f>"CDS CITY SANTE REIMS"</f>
        <v>CDS CITY SANTE REIMS</v>
      </c>
      <c r="F1317" t="str">
        <f>"12 AVENUE DE LAON"</f>
        <v>12 AVENUE DE LAON</v>
      </c>
      <c r="H1317" t="str">
        <f>"51100"</f>
        <v>51100</v>
      </c>
      <c r="I1317" t="str">
        <f>"REIMS"</f>
        <v>REIMS</v>
      </c>
      <c r="J1317" t="str">
        <f>"03 55 33 34 35 "</f>
        <v xml:space="preserve">03 55 33 34 35 </v>
      </c>
      <c r="L1317" s="1">
        <v>43619</v>
      </c>
      <c r="M1317" t="str">
        <f t="shared" si="220"/>
        <v>124</v>
      </c>
      <c r="N1317" t="str">
        <f t="shared" si="221"/>
        <v>Centre de Santé</v>
      </c>
      <c r="O1317" t="str">
        <f t="shared" si="226"/>
        <v>60</v>
      </c>
      <c r="P1317" t="str">
        <f t="shared" si="227"/>
        <v>Association Loi 1901 non Reconnue d'Utilité Publique</v>
      </c>
      <c r="Q1317" t="str">
        <f t="shared" si="224"/>
        <v>36</v>
      </c>
      <c r="R1317" t="str">
        <f t="shared" si="225"/>
        <v>Tarifs conventionnels assurance maladie</v>
      </c>
      <c r="U1317" t="str">
        <f>"510025729"</f>
        <v>510025729</v>
      </c>
    </row>
    <row r="1318" spans="1:21" x14ac:dyDescent="0.3">
      <c r="A1318" t="str">
        <f>"670019173"</f>
        <v>670019173</v>
      </c>
      <c r="B1318" t="str">
        <f>"810 995 852 00110"</f>
        <v>810 995 852 00110</v>
      </c>
      <c r="D1318" t="str">
        <f>"CENTRE DE SANTE DENTAIRE DENTASMILE"</f>
        <v>CENTRE DE SANTE DENTAIRE DENTASMILE</v>
      </c>
      <c r="F1318" t="str">
        <f>"20 PLACE BROGLIE"</f>
        <v>20 PLACE BROGLIE</v>
      </c>
      <c r="H1318" t="str">
        <f>"67000"</f>
        <v>67000</v>
      </c>
      <c r="I1318" t="str">
        <f>"STRASBOURG"</f>
        <v>STRASBOURG</v>
      </c>
      <c r="J1318" t="str">
        <f>"03 67 10 14 14 "</f>
        <v xml:space="preserve">03 67 10 14 14 </v>
      </c>
      <c r="L1318" s="1">
        <v>43619</v>
      </c>
      <c r="M1318" t="str">
        <f t="shared" si="220"/>
        <v>124</v>
      </c>
      <c r="N1318" t="str">
        <f t="shared" si="221"/>
        <v>Centre de Santé</v>
      </c>
      <c r="O1318" t="str">
        <f t="shared" si="226"/>
        <v>60</v>
      </c>
      <c r="P1318" t="str">
        <f t="shared" si="227"/>
        <v>Association Loi 1901 non Reconnue d'Utilité Publique</v>
      </c>
      <c r="Q1318" t="str">
        <f t="shared" si="224"/>
        <v>36</v>
      </c>
      <c r="R1318" t="str">
        <f t="shared" si="225"/>
        <v>Tarifs conventionnels assurance maladie</v>
      </c>
      <c r="U1318" t="str">
        <f>"750057440"</f>
        <v>750057440</v>
      </c>
    </row>
    <row r="1319" spans="1:21" x14ac:dyDescent="0.3">
      <c r="A1319" t="str">
        <f>"380021774"</f>
        <v>380021774</v>
      </c>
      <c r="B1319" t="str">
        <f>"850 466 608 00013"</f>
        <v>850 466 608 00013</v>
      </c>
      <c r="D1319" t="str">
        <f>"CENTRE DE SANTE DENTAIRE DE FONTAINE"</f>
        <v>CENTRE DE SANTE DENTAIRE DE FONTAINE</v>
      </c>
      <c r="F1319" t="str">
        <f>"105 AVENUE ARISTIDE BRIAND"</f>
        <v>105 AVENUE ARISTIDE BRIAND</v>
      </c>
      <c r="H1319" t="str">
        <f>"38600"</f>
        <v>38600</v>
      </c>
      <c r="I1319" t="str">
        <f>"FONTAINE"</f>
        <v>FONTAINE</v>
      </c>
      <c r="J1319" t="str">
        <f>"09 87 73 40 21 "</f>
        <v xml:space="preserve">09 87 73 40 21 </v>
      </c>
      <c r="L1319" s="1">
        <v>43617</v>
      </c>
      <c r="M1319" t="str">
        <f t="shared" si="220"/>
        <v>124</v>
      </c>
      <c r="N1319" t="str">
        <f t="shared" si="221"/>
        <v>Centre de Santé</v>
      </c>
      <c r="O1319" t="str">
        <f t="shared" si="226"/>
        <v>60</v>
      </c>
      <c r="P1319" t="str">
        <f t="shared" si="227"/>
        <v>Association Loi 1901 non Reconnue d'Utilité Publique</v>
      </c>
      <c r="Q1319" t="str">
        <f t="shared" si="224"/>
        <v>36</v>
      </c>
      <c r="R1319" t="str">
        <f t="shared" si="225"/>
        <v>Tarifs conventionnels assurance maladie</v>
      </c>
      <c r="U1319" t="str">
        <f>"380021766"</f>
        <v>380021766</v>
      </c>
    </row>
    <row r="1320" spans="1:21" x14ac:dyDescent="0.3">
      <c r="A1320" t="str">
        <f>"690045083"</f>
        <v>690045083</v>
      </c>
      <c r="B1320" t="str">
        <f>"841 313 109 00016"</f>
        <v>841 313 109 00016</v>
      </c>
      <c r="D1320" t="str">
        <f>"CENTRE DE SANTE DENTAIRE DES BUERS"</f>
        <v>CENTRE DE SANTE DENTAIRE DES BUERS</v>
      </c>
      <c r="F1320" t="str">
        <f>"36 RUE DU HUIT MAI 1945"</f>
        <v>36 RUE DU HUIT MAI 1945</v>
      </c>
      <c r="H1320" t="str">
        <f>"69100"</f>
        <v>69100</v>
      </c>
      <c r="I1320" t="str">
        <f>"VILLEURBANNE"</f>
        <v>VILLEURBANNE</v>
      </c>
      <c r="L1320" s="1">
        <v>43617</v>
      </c>
      <c r="M1320" t="str">
        <f t="shared" si="220"/>
        <v>124</v>
      </c>
      <c r="N1320" t="str">
        <f t="shared" si="221"/>
        <v>Centre de Santé</v>
      </c>
      <c r="O1320" t="str">
        <f t="shared" si="226"/>
        <v>60</v>
      </c>
      <c r="P1320" t="str">
        <f t="shared" si="227"/>
        <v>Association Loi 1901 non Reconnue d'Utilité Publique</v>
      </c>
      <c r="Q1320" t="str">
        <f t="shared" si="224"/>
        <v>36</v>
      </c>
      <c r="R1320" t="str">
        <f t="shared" si="225"/>
        <v>Tarifs conventionnels assurance maladie</v>
      </c>
      <c r="U1320" t="str">
        <f>"690045075"</f>
        <v>690045075</v>
      </c>
    </row>
    <row r="1321" spans="1:21" x14ac:dyDescent="0.3">
      <c r="A1321" t="str">
        <f>"930029012"</f>
        <v>930029012</v>
      </c>
      <c r="B1321" t="str">
        <f>"848 456 034 00018"</f>
        <v>848 456 034 00018</v>
      </c>
      <c r="D1321" t="str">
        <f>"CDS MEDICO-DENTAIRE PAVILLON SOUS BOIS"</f>
        <v>CDS MEDICO-DENTAIRE PAVILLON SOUS BOIS</v>
      </c>
      <c r="F1321" t="str">
        <f>"44 AVENUE VICTOR HUGO"</f>
        <v>44 AVENUE VICTOR HUGO</v>
      </c>
      <c r="H1321" t="str">
        <f>"93320"</f>
        <v>93320</v>
      </c>
      <c r="I1321" t="str">
        <f>"LES PAVILLONS SOUS BOIS"</f>
        <v>LES PAVILLONS SOUS BOIS</v>
      </c>
      <c r="L1321" s="1">
        <v>43614</v>
      </c>
      <c r="M1321" t="str">
        <f t="shared" si="220"/>
        <v>124</v>
      </c>
      <c r="N1321" t="str">
        <f t="shared" si="221"/>
        <v>Centre de Santé</v>
      </c>
      <c r="O1321" t="str">
        <f t="shared" si="226"/>
        <v>60</v>
      </c>
      <c r="P1321" t="str">
        <f t="shared" si="227"/>
        <v>Association Loi 1901 non Reconnue d'Utilité Publique</v>
      </c>
      <c r="Q1321" t="str">
        <f t="shared" si="224"/>
        <v>36</v>
      </c>
      <c r="R1321" t="str">
        <f t="shared" si="225"/>
        <v>Tarifs conventionnels assurance maladie</v>
      </c>
      <c r="U1321" t="str">
        <f>"930028972"</f>
        <v>930028972</v>
      </c>
    </row>
    <row r="1322" spans="1:21" x14ac:dyDescent="0.3">
      <c r="A1322" t="str">
        <f>"310031323"</f>
        <v>310031323</v>
      </c>
      <c r="B1322" t="str">
        <f>"843 833 591 00012"</f>
        <v>843 833 591 00012</v>
      </c>
      <c r="D1322" t="str">
        <f>"CENTRE DE SANTE DENTAIRE BLAGNAC"</f>
        <v>CENTRE DE SANTE DENTAIRE BLAGNAC</v>
      </c>
      <c r="F1322" t="str">
        <f>"18 AVENUE D'ANDROMEDE"</f>
        <v>18 AVENUE D'ANDROMEDE</v>
      </c>
      <c r="H1322" t="str">
        <f>"31700"</f>
        <v>31700</v>
      </c>
      <c r="I1322" t="str">
        <f>"BLAGNAC"</f>
        <v>BLAGNAC</v>
      </c>
      <c r="L1322" s="1">
        <v>43613</v>
      </c>
      <c r="M1322" t="str">
        <f t="shared" si="220"/>
        <v>124</v>
      </c>
      <c r="N1322" t="str">
        <f t="shared" si="221"/>
        <v>Centre de Santé</v>
      </c>
      <c r="O1322" t="str">
        <f t="shared" si="226"/>
        <v>60</v>
      </c>
      <c r="P1322" t="str">
        <f t="shared" si="227"/>
        <v>Association Loi 1901 non Reconnue d'Utilité Publique</v>
      </c>
      <c r="Q1322" t="str">
        <f t="shared" si="224"/>
        <v>36</v>
      </c>
      <c r="R1322" t="str">
        <f t="shared" si="225"/>
        <v>Tarifs conventionnels assurance maladie</v>
      </c>
      <c r="U1322" t="str">
        <f>"310031315"</f>
        <v>310031315</v>
      </c>
    </row>
    <row r="1323" spans="1:21" x14ac:dyDescent="0.3">
      <c r="A1323" t="str">
        <f>"330060799"</f>
        <v>330060799</v>
      </c>
      <c r="B1323" t="str">
        <f>"851 860 254 00016"</f>
        <v>851 860 254 00016</v>
      </c>
      <c r="D1323" t="str">
        <f>"CENTRE DE SANTÉ DENTAIRE D'EYSINES"</f>
        <v>CENTRE DE SANTÉ DENTAIRE D'EYSINES</v>
      </c>
      <c r="F1323" t="str">
        <f>"222 AVENUE DU TAILLAN MEDOC"</f>
        <v>222 AVENUE DU TAILLAN MEDOC</v>
      </c>
      <c r="H1323" t="str">
        <f>"33320"</f>
        <v>33320</v>
      </c>
      <c r="I1323" t="str">
        <f>"EYSINES"</f>
        <v>EYSINES</v>
      </c>
      <c r="L1323" s="1">
        <v>43612</v>
      </c>
      <c r="M1323" t="str">
        <f t="shared" si="220"/>
        <v>124</v>
      </c>
      <c r="N1323" t="str">
        <f t="shared" si="221"/>
        <v>Centre de Santé</v>
      </c>
      <c r="O1323" t="str">
        <f t="shared" si="226"/>
        <v>60</v>
      </c>
      <c r="P1323" t="str">
        <f t="shared" si="227"/>
        <v>Association Loi 1901 non Reconnue d'Utilité Publique</v>
      </c>
      <c r="Q1323" t="str">
        <f t="shared" si="224"/>
        <v>36</v>
      </c>
      <c r="R1323" t="str">
        <f t="shared" si="225"/>
        <v>Tarifs conventionnels assurance maladie</v>
      </c>
      <c r="U1323" t="str">
        <f>"330060781"</f>
        <v>330060781</v>
      </c>
    </row>
    <row r="1324" spans="1:21" x14ac:dyDescent="0.3">
      <c r="A1324" t="str">
        <f>"250020765"</f>
        <v>250020765</v>
      </c>
      <c r="D1324" t="str">
        <f>"CDS DE LA POLYCLINIQUE DE FC"</f>
        <v>CDS DE LA POLYCLINIQUE DE FC</v>
      </c>
      <c r="F1324" t="str">
        <f>"4 RUE AUGUSTE RODIN"</f>
        <v>4 RUE AUGUSTE RODIN</v>
      </c>
      <c r="H1324" t="str">
        <f>"25000"</f>
        <v>25000</v>
      </c>
      <c r="I1324" t="str">
        <f>"BESANCON"</f>
        <v>BESANCON</v>
      </c>
      <c r="L1324" s="1">
        <v>43608</v>
      </c>
      <c r="M1324" t="str">
        <f t="shared" si="220"/>
        <v>124</v>
      </c>
      <c r="N1324" t="str">
        <f t="shared" si="221"/>
        <v>Centre de Santé</v>
      </c>
      <c r="O1324" t="str">
        <f>"47"</f>
        <v>47</v>
      </c>
      <c r="P1324" t="str">
        <f>"Société Mutualiste"</f>
        <v>Société Mutualiste</v>
      </c>
      <c r="Q1324" t="str">
        <f t="shared" si="224"/>
        <v>36</v>
      </c>
      <c r="R1324" t="str">
        <f t="shared" si="225"/>
        <v>Tarifs conventionnels assurance maladie</v>
      </c>
      <c r="U1324" t="str">
        <f>"250001161"</f>
        <v>250001161</v>
      </c>
    </row>
    <row r="1325" spans="1:21" x14ac:dyDescent="0.3">
      <c r="A1325" t="str">
        <f>"930029004"</f>
        <v>930029004</v>
      </c>
      <c r="B1325" t="str">
        <f>"842 795 155 00014"</f>
        <v>842 795 155 00014</v>
      </c>
      <c r="D1325" t="str">
        <f>"CDS DU GRAND PARIS"</f>
        <v>CDS DU GRAND PARIS</v>
      </c>
      <c r="E1325" t="str">
        <f>"4/8"</f>
        <v>4/8</v>
      </c>
      <c r="F1325" t="str">
        <f>"4 AVENUE HENRI VARAGNAT"</f>
        <v>4 AVENUE HENRI VARAGNAT</v>
      </c>
      <c r="H1325" t="str">
        <f>"93140"</f>
        <v>93140</v>
      </c>
      <c r="I1325" t="str">
        <f>"BONDY"</f>
        <v>BONDY</v>
      </c>
      <c r="L1325" s="1">
        <v>43608</v>
      </c>
      <c r="M1325" t="str">
        <f t="shared" si="220"/>
        <v>124</v>
      </c>
      <c r="N1325" t="str">
        <f t="shared" si="221"/>
        <v>Centre de Santé</v>
      </c>
      <c r="O1325" t="str">
        <f>"60"</f>
        <v>60</v>
      </c>
      <c r="P1325" t="str">
        <f>"Association Loi 1901 non Reconnue d'Utilité Publique"</f>
        <v>Association Loi 1901 non Reconnue d'Utilité Publique</v>
      </c>
      <c r="Q1325" t="str">
        <f t="shared" si="224"/>
        <v>36</v>
      </c>
      <c r="R1325" t="str">
        <f t="shared" si="225"/>
        <v>Tarifs conventionnels assurance maladie</v>
      </c>
      <c r="U1325" t="str">
        <f>"930028956"</f>
        <v>930028956</v>
      </c>
    </row>
    <row r="1326" spans="1:21" x14ac:dyDescent="0.3">
      <c r="A1326" t="str">
        <f>"750063638"</f>
        <v>750063638</v>
      </c>
      <c r="B1326" t="str">
        <f>"847 621 695 00018"</f>
        <v>847 621 695 00018</v>
      </c>
      <c r="D1326" t="str">
        <f>"CDS MEDICO-DENTAIRE MONGE"</f>
        <v>CDS MEDICO-DENTAIRE MONGE</v>
      </c>
      <c r="F1326" t="str">
        <f>"15 RUE DU PUITS DE L'ERMITE"</f>
        <v>15 RUE DU PUITS DE L'ERMITE</v>
      </c>
      <c r="H1326" t="str">
        <f>"75005"</f>
        <v>75005</v>
      </c>
      <c r="I1326" t="str">
        <f>"PARIS"</f>
        <v>PARIS</v>
      </c>
      <c r="L1326" s="1">
        <v>43606</v>
      </c>
      <c r="M1326" t="str">
        <f t="shared" si="220"/>
        <v>124</v>
      </c>
      <c r="N1326" t="str">
        <f t="shared" si="221"/>
        <v>Centre de Santé</v>
      </c>
      <c r="O1326" t="str">
        <f>"60"</f>
        <v>60</v>
      </c>
      <c r="P1326" t="str">
        <f>"Association Loi 1901 non Reconnue d'Utilité Publique"</f>
        <v>Association Loi 1901 non Reconnue d'Utilité Publique</v>
      </c>
      <c r="Q1326" t="str">
        <f t="shared" si="224"/>
        <v>36</v>
      </c>
      <c r="R1326" t="str">
        <f t="shared" si="225"/>
        <v>Tarifs conventionnels assurance maladie</v>
      </c>
      <c r="U1326" t="str">
        <f>"750063596"</f>
        <v>750063596</v>
      </c>
    </row>
    <row r="1327" spans="1:21" x14ac:dyDescent="0.3">
      <c r="A1327" t="str">
        <f>"330060435"</f>
        <v>330060435</v>
      </c>
      <c r="B1327" t="str">
        <f>"830 073 276 00131"</f>
        <v>830 073 276 00131</v>
      </c>
      <c r="D1327" t="str">
        <f>"CENTRE DENTAIRE VICTOIRE"</f>
        <v>CENTRE DENTAIRE VICTOIRE</v>
      </c>
      <c r="F1327" t="str">
        <f>"33 COURS DE LA MARNE"</f>
        <v>33 COURS DE LA MARNE</v>
      </c>
      <c r="H1327" t="str">
        <f>"33800"</f>
        <v>33800</v>
      </c>
      <c r="I1327" t="str">
        <f>"BORDEAUX"</f>
        <v>BORDEAUX</v>
      </c>
      <c r="J1327" t="str">
        <f>"01 85 11 10 11 "</f>
        <v xml:space="preserve">01 85 11 10 11 </v>
      </c>
      <c r="L1327" s="1">
        <v>43600</v>
      </c>
      <c r="M1327" t="str">
        <f t="shared" si="220"/>
        <v>124</v>
      </c>
      <c r="N1327" t="str">
        <f t="shared" si="221"/>
        <v>Centre de Santé</v>
      </c>
      <c r="O1327" t="str">
        <f>"60"</f>
        <v>60</v>
      </c>
      <c r="P1327" t="str">
        <f>"Association Loi 1901 non Reconnue d'Utilité Publique"</f>
        <v>Association Loi 1901 non Reconnue d'Utilité Publique</v>
      </c>
      <c r="Q1327" t="str">
        <f t="shared" si="224"/>
        <v>36</v>
      </c>
      <c r="R1327" t="str">
        <f t="shared" si="225"/>
        <v>Tarifs conventionnels assurance maladie</v>
      </c>
      <c r="U1327" t="str">
        <f>"750060345"</f>
        <v>750060345</v>
      </c>
    </row>
    <row r="1328" spans="1:21" x14ac:dyDescent="0.3">
      <c r="A1328" t="str">
        <f>"240016972"</f>
        <v>240016972</v>
      </c>
      <c r="B1328" t="str">
        <f>"222 400 012 00779"</f>
        <v>222 400 012 00779</v>
      </c>
      <c r="D1328" t="str">
        <f>"CENTRE DPTAL DE SANTE D'EXCIDEUIL"</f>
        <v>CENTRE DPTAL DE SANTE D'EXCIDEUIL</v>
      </c>
      <c r="E1328" t="str">
        <f>"ANCIENNE GENDARMERIE"</f>
        <v>ANCIENNE GENDARMERIE</v>
      </c>
      <c r="F1328" t="str">
        <f>"24 RUE ANDRE AUDY"</f>
        <v>24 RUE ANDRE AUDY</v>
      </c>
      <c r="H1328" t="str">
        <f>"24160"</f>
        <v>24160</v>
      </c>
      <c r="I1328" t="str">
        <f>"EXCIDEUIL"</f>
        <v>EXCIDEUIL</v>
      </c>
      <c r="J1328" t="str">
        <f>"05 53 02 06 00 "</f>
        <v xml:space="preserve">05 53 02 06 00 </v>
      </c>
      <c r="K1328" t="str">
        <f>"05 53 02 09 15"</f>
        <v>05 53 02 09 15</v>
      </c>
      <c r="L1328" s="1">
        <v>43598</v>
      </c>
      <c r="M1328" t="str">
        <f t="shared" si="220"/>
        <v>124</v>
      </c>
      <c r="N1328" t="str">
        <f t="shared" si="221"/>
        <v>Centre de Santé</v>
      </c>
      <c r="O1328" t="str">
        <f>"02"</f>
        <v>02</v>
      </c>
      <c r="P1328" t="str">
        <f>"Département"</f>
        <v>Département</v>
      </c>
      <c r="Q1328" t="str">
        <f t="shared" si="224"/>
        <v>36</v>
      </c>
      <c r="R1328" t="str">
        <f t="shared" si="225"/>
        <v>Tarifs conventionnels assurance maladie</v>
      </c>
      <c r="U1328" t="str">
        <f>"240002006"</f>
        <v>240002006</v>
      </c>
    </row>
    <row r="1329" spans="1:21" x14ac:dyDescent="0.3">
      <c r="A1329" t="str">
        <f>"670019231"</f>
        <v>670019231</v>
      </c>
      <c r="B1329" t="str">
        <f>"842 129 926 00015"</f>
        <v>842 129 926 00015</v>
      </c>
      <c r="D1329" t="str">
        <f>"CENTRE DE SANTE DENTAIRE DENTEGO"</f>
        <v>CENTRE DE SANTE DENTAIRE DENTEGO</v>
      </c>
      <c r="E1329" t="str">
        <f>"N° 32-34"</f>
        <v>N° 32-34</v>
      </c>
      <c r="F1329" t="str">
        <f>"32 RUE DU VIEUX MARCHÉ AUX VINS"</f>
        <v>32 RUE DU VIEUX MARCHÉ AUX VINS</v>
      </c>
      <c r="H1329" t="str">
        <f>"67000"</f>
        <v>67000</v>
      </c>
      <c r="I1329" t="str">
        <f>"STRASBOURG"</f>
        <v>STRASBOURG</v>
      </c>
      <c r="J1329" t="str">
        <f>"06 88 40 95 35 "</f>
        <v xml:space="preserve">06 88 40 95 35 </v>
      </c>
      <c r="L1329" s="1">
        <v>43595</v>
      </c>
      <c r="M1329" t="str">
        <f t="shared" si="220"/>
        <v>124</v>
      </c>
      <c r="N1329" t="str">
        <f t="shared" si="221"/>
        <v>Centre de Santé</v>
      </c>
      <c r="O1329" t="str">
        <f t="shared" ref="O1329:O1334" si="228">"60"</f>
        <v>60</v>
      </c>
      <c r="P1329" t="str">
        <f t="shared" ref="P1329:P1334" si="229">"Association Loi 1901 non Reconnue d'Utilité Publique"</f>
        <v>Association Loi 1901 non Reconnue d'Utilité Publique</v>
      </c>
      <c r="Q1329" t="str">
        <f t="shared" si="224"/>
        <v>36</v>
      </c>
      <c r="R1329" t="str">
        <f t="shared" si="225"/>
        <v>Tarifs conventionnels assurance maladie</v>
      </c>
      <c r="U1329" t="str">
        <f>"920033545"</f>
        <v>920033545</v>
      </c>
    </row>
    <row r="1330" spans="1:21" x14ac:dyDescent="0.3">
      <c r="A1330" t="str">
        <f>"330060054"</f>
        <v>330060054</v>
      </c>
      <c r="B1330" t="str">
        <f>"839 538 592 00016"</f>
        <v>839 538 592 00016</v>
      </c>
      <c r="D1330" t="str">
        <f>"BIODENT CENTRE DENTAIRE BDX MARITIME"</f>
        <v>BIODENT CENTRE DENTAIRE BDX MARITIME</v>
      </c>
      <c r="F1330" t="str">
        <f>"5 PLACE JEAN CAYROL"</f>
        <v>5 PLACE JEAN CAYROL</v>
      </c>
      <c r="H1330" t="str">
        <f>"33300"</f>
        <v>33300</v>
      </c>
      <c r="I1330" t="str">
        <f>"BORDEAUX"</f>
        <v>BORDEAUX</v>
      </c>
      <c r="J1330" t="str">
        <f>"05 56 88 32 32 "</f>
        <v xml:space="preserve">05 56 88 32 32 </v>
      </c>
      <c r="L1330" s="1">
        <v>43594</v>
      </c>
      <c r="M1330" t="str">
        <f t="shared" si="220"/>
        <v>124</v>
      </c>
      <c r="N1330" t="str">
        <f t="shared" si="221"/>
        <v>Centre de Santé</v>
      </c>
      <c r="O1330" t="str">
        <f t="shared" si="228"/>
        <v>60</v>
      </c>
      <c r="P1330" t="str">
        <f t="shared" si="229"/>
        <v>Association Loi 1901 non Reconnue d'Utilité Publique</v>
      </c>
      <c r="Q1330" t="str">
        <f t="shared" si="224"/>
        <v>36</v>
      </c>
      <c r="R1330" t="str">
        <f t="shared" si="225"/>
        <v>Tarifs conventionnels assurance maladie</v>
      </c>
      <c r="U1330" t="str">
        <f>"330060047"</f>
        <v>330060047</v>
      </c>
    </row>
    <row r="1331" spans="1:21" x14ac:dyDescent="0.3">
      <c r="A1331" t="str">
        <f>"750063562"</f>
        <v>750063562</v>
      </c>
      <c r="B1331" t="str">
        <f>"840 393 250 00013"</f>
        <v>840 393 250 00013</v>
      </c>
      <c r="D1331" t="str">
        <f>"CDS DENTAIRE DU MAINE"</f>
        <v>CDS DENTAIRE DU MAINE</v>
      </c>
      <c r="F1331" t="str">
        <f>"118 AVENUE DU MAINE"</f>
        <v>118 AVENUE DU MAINE</v>
      </c>
      <c r="H1331" t="str">
        <f>"75014"</f>
        <v>75014</v>
      </c>
      <c r="I1331" t="str">
        <f>"PARIS"</f>
        <v>PARIS</v>
      </c>
      <c r="L1331" s="1">
        <v>43594</v>
      </c>
      <c r="M1331" t="str">
        <f t="shared" si="220"/>
        <v>124</v>
      </c>
      <c r="N1331" t="str">
        <f t="shared" si="221"/>
        <v>Centre de Santé</v>
      </c>
      <c r="O1331" t="str">
        <f t="shared" si="228"/>
        <v>60</v>
      </c>
      <c r="P1331" t="str">
        <f t="shared" si="229"/>
        <v>Association Loi 1901 non Reconnue d'Utilité Publique</v>
      </c>
      <c r="Q1331" t="str">
        <f t="shared" si="224"/>
        <v>36</v>
      </c>
      <c r="R1331" t="str">
        <f t="shared" si="225"/>
        <v>Tarifs conventionnels assurance maladie</v>
      </c>
      <c r="U1331" t="str">
        <f>"750063513"</f>
        <v>750063513</v>
      </c>
    </row>
    <row r="1332" spans="1:21" x14ac:dyDescent="0.3">
      <c r="A1332" t="str">
        <f>"750063570"</f>
        <v>750063570</v>
      </c>
      <c r="B1332" t="str">
        <f>"844 639 617 00019"</f>
        <v>844 639 617 00019</v>
      </c>
      <c r="D1332" t="str">
        <f>"CDS DENTAIRE CLINADENT PARIS"</f>
        <v>CDS DENTAIRE CLINADENT PARIS</v>
      </c>
      <c r="F1332" t="str">
        <f>"7 RUE VIOLET"</f>
        <v>7 RUE VIOLET</v>
      </c>
      <c r="H1332" t="str">
        <f>"75015"</f>
        <v>75015</v>
      </c>
      <c r="I1332" t="str">
        <f>"PARIS"</f>
        <v>PARIS</v>
      </c>
      <c r="J1332" t="str">
        <f>"01 49 26 90 75 "</f>
        <v xml:space="preserve">01 49 26 90 75 </v>
      </c>
      <c r="L1332" s="1">
        <v>43594</v>
      </c>
      <c r="M1332" t="str">
        <f t="shared" si="220"/>
        <v>124</v>
      </c>
      <c r="N1332" t="str">
        <f t="shared" si="221"/>
        <v>Centre de Santé</v>
      </c>
      <c r="O1332" t="str">
        <f t="shared" si="228"/>
        <v>60</v>
      </c>
      <c r="P1332" t="str">
        <f t="shared" si="229"/>
        <v>Association Loi 1901 non Reconnue d'Utilité Publique</v>
      </c>
      <c r="Q1332" t="str">
        <f t="shared" si="224"/>
        <v>36</v>
      </c>
      <c r="R1332" t="str">
        <f t="shared" si="225"/>
        <v>Tarifs conventionnels assurance maladie</v>
      </c>
      <c r="U1332" t="str">
        <f>"750063232"</f>
        <v>750063232</v>
      </c>
    </row>
    <row r="1333" spans="1:21" x14ac:dyDescent="0.3">
      <c r="A1333" t="str">
        <f>"330060716"</f>
        <v>330060716</v>
      </c>
      <c r="B1333" t="str">
        <f>"843 061 649 00011"</f>
        <v>843 061 649 00011</v>
      </c>
      <c r="D1333" t="str">
        <f>"CDS MEDICO-DENTAIRE SAINTE-CATHERINE"</f>
        <v>CDS MEDICO-DENTAIRE SAINTE-CATHERINE</v>
      </c>
      <c r="F1333" t="str">
        <f>"131 RUE SAINTE-CATHERINE"</f>
        <v>131 RUE SAINTE-CATHERINE</v>
      </c>
      <c r="H1333" t="str">
        <f>"33000"</f>
        <v>33000</v>
      </c>
      <c r="I1333" t="str">
        <f>"BORDEAUX"</f>
        <v>BORDEAUX</v>
      </c>
      <c r="L1333" s="1">
        <v>43591</v>
      </c>
      <c r="M1333" t="str">
        <f t="shared" si="220"/>
        <v>124</v>
      </c>
      <c r="N1333" t="str">
        <f t="shared" si="221"/>
        <v>Centre de Santé</v>
      </c>
      <c r="O1333" t="str">
        <f t="shared" si="228"/>
        <v>60</v>
      </c>
      <c r="P1333" t="str">
        <f t="shared" si="229"/>
        <v>Association Loi 1901 non Reconnue d'Utilité Publique</v>
      </c>
      <c r="Q1333" t="str">
        <f t="shared" si="224"/>
        <v>36</v>
      </c>
      <c r="R1333" t="str">
        <f t="shared" si="225"/>
        <v>Tarifs conventionnels assurance maladie</v>
      </c>
      <c r="U1333" t="str">
        <f>"330060708"</f>
        <v>330060708</v>
      </c>
    </row>
    <row r="1334" spans="1:21" x14ac:dyDescent="0.3">
      <c r="A1334" t="str">
        <f>"670019090"</f>
        <v>670019090</v>
      </c>
      <c r="B1334" t="str">
        <f>"848 619 912 00027"</f>
        <v>848 619 912 00027</v>
      </c>
      <c r="D1334" t="str">
        <f>"CENTRE DE SANTE MEDICO-DENTAIRE"</f>
        <v>CENTRE DE SANTE MEDICO-DENTAIRE</v>
      </c>
      <c r="F1334" t="str">
        <f>"3 PLACE DAUPHINE"</f>
        <v>3 PLACE DAUPHINE</v>
      </c>
      <c r="H1334" t="str">
        <f>"67100"</f>
        <v>67100</v>
      </c>
      <c r="I1334" t="str">
        <f>"STRASBOURG"</f>
        <v>STRASBOURG</v>
      </c>
      <c r="J1334" t="str">
        <f>"03 90 23 55 55 "</f>
        <v xml:space="preserve">03 90 23 55 55 </v>
      </c>
      <c r="L1334" s="1">
        <v>43591</v>
      </c>
      <c r="M1334" t="str">
        <f t="shared" si="220"/>
        <v>124</v>
      </c>
      <c r="N1334" t="str">
        <f t="shared" si="221"/>
        <v>Centre de Santé</v>
      </c>
      <c r="O1334" t="str">
        <f t="shared" si="228"/>
        <v>60</v>
      </c>
      <c r="P1334" t="str">
        <f t="shared" si="229"/>
        <v>Association Loi 1901 non Reconnue d'Utilité Publique</v>
      </c>
      <c r="Q1334" t="str">
        <f t="shared" si="224"/>
        <v>36</v>
      </c>
      <c r="R1334" t="str">
        <f t="shared" si="225"/>
        <v>Tarifs conventionnels assurance maladie</v>
      </c>
      <c r="U1334" t="str">
        <f>"750062911"</f>
        <v>750062911</v>
      </c>
    </row>
    <row r="1335" spans="1:21" x14ac:dyDescent="0.3">
      <c r="A1335" t="str">
        <f>"590062147"</f>
        <v>590062147</v>
      </c>
      <c r="B1335" t="str">
        <f>"837 573 906 00034"</f>
        <v>837 573 906 00034</v>
      </c>
      <c r="D1335" t="str">
        <f>"CSI HAZEBROUCK FLANDRE LYS"</f>
        <v>CSI HAZEBROUCK FLANDRE LYS</v>
      </c>
      <c r="F1335" t="str">
        <f>"14 RUE NATIONALE"</f>
        <v>14 RUE NATIONALE</v>
      </c>
      <c r="H1335" t="str">
        <f>"59190"</f>
        <v>59190</v>
      </c>
      <c r="I1335" t="str">
        <f>"HAZEBROUCK"</f>
        <v>HAZEBROUCK</v>
      </c>
      <c r="L1335" s="1">
        <v>43586</v>
      </c>
      <c r="M1335" t="str">
        <f t="shared" si="220"/>
        <v>124</v>
      </c>
      <c r="N1335" t="str">
        <f t="shared" si="221"/>
        <v>Centre de Santé</v>
      </c>
      <c r="O1335" t="str">
        <f>"61"</f>
        <v>61</v>
      </c>
      <c r="P1335" t="str">
        <f>"Association Loi 1901 Reconnue d'Utilité Publique"</f>
        <v>Association Loi 1901 Reconnue d'Utilité Publique</v>
      </c>
      <c r="Q1335" t="str">
        <f t="shared" ref="Q1335:Q1366" si="230">"36"</f>
        <v>36</v>
      </c>
      <c r="R1335" t="str">
        <f t="shared" ref="R1335:R1366" si="231">"Tarifs conventionnels assurance maladie"</f>
        <v>Tarifs conventionnels assurance maladie</v>
      </c>
      <c r="U1335" t="str">
        <f>"590062386"</f>
        <v>590062386</v>
      </c>
    </row>
    <row r="1336" spans="1:21" x14ac:dyDescent="0.3">
      <c r="A1336" t="str">
        <f>"160016440"</f>
        <v>160016440</v>
      </c>
      <c r="B1336" t="str">
        <f>"781 166 285 00457"</f>
        <v>781 166 285 00457</v>
      </c>
      <c r="D1336" t="str">
        <f>"CDS DENTAIRE DE RUFFEC"</f>
        <v>CDS DENTAIRE DE RUFFEC</v>
      </c>
      <c r="F1336" t="str">
        <f>"51 ROUTE D'AIGRE"</f>
        <v>51 ROUTE D'AIGRE</v>
      </c>
      <c r="H1336" t="str">
        <f>"16700"</f>
        <v>16700</v>
      </c>
      <c r="I1336" t="str">
        <f>"RUFFEC"</f>
        <v>RUFFEC</v>
      </c>
      <c r="J1336" t="str">
        <f>"05 45 31 11 22 "</f>
        <v xml:space="preserve">05 45 31 11 22 </v>
      </c>
      <c r="K1336" t="str">
        <f>"05 45 85 58 43"</f>
        <v>05 45 85 58 43</v>
      </c>
      <c r="L1336" s="1">
        <v>43584</v>
      </c>
      <c r="M1336" t="str">
        <f t="shared" si="220"/>
        <v>124</v>
      </c>
      <c r="N1336" t="str">
        <f t="shared" si="221"/>
        <v>Centre de Santé</v>
      </c>
      <c r="O1336" t="str">
        <f>"47"</f>
        <v>47</v>
      </c>
      <c r="P1336" t="str">
        <f>"Société Mutualiste"</f>
        <v>Société Mutualiste</v>
      </c>
      <c r="Q1336" t="str">
        <f t="shared" si="230"/>
        <v>36</v>
      </c>
      <c r="R1336" t="str">
        <f t="shared" si="231"/>
        <v>Tarifs conventionnels assurance maladie</v>
      </c>
      <c r="U1336" t="str">
        <f>"160009908"</f>
        <v>160009908</v>
      </c>
    </row>
    <row r="1337" spans="1:21" x14ac:dyDescent="0.3">
      <c r="A1337" t="str">
        <f>"600014617"</f>
        <v>600014617</v>
      </c>
      <c r="B1337" t="str">
        <f>"843 723 123 00017"</f>
        <v>843 723 123 00017</v>
      </c>
      <c r="D1337" t="str">
        <f>"CSD VALEM BEAUVAIS"</f>
        <v>CSD VALEM BEAUVAIS</v>
      </c>
      <c r="F1337" t="str">
        <f>"31 RUE DE BUZANVAL"</f>
        <v>31 RUE DE BUZANVAL</v>
      </c>
      <c r="H1337" t="str">
        <f>"60000"</f>
        <v>60000</v>
      </c>
      <c r="I1337" t="str">
        <f>"BEAUVAIS"</f>
        <v>BEAUVAIS</v>
      </c>
      <c r="J1337" t="str">
        <f>"03 44 45 01 57 "</f>
        <v xml:space="preserve">03 44 45 01 57 </v>
      </c>
      <c r="L1337" s="1">
        <v>43578</v>
      </c>
      <c r="M1337" t="str">
        <f t="shared" si="220"/>
        <v>124</v>
      </c>
      <c r="N1337" t="str">
        <f t="shared" si="221"/>
        <v>Centre de Santé</v>
      </c>
      <c r="O1337" t="str">
        <f>"61"</f>
        <v>61</v>
      </c>
      <c r="P1337" t="str">
        <f>"Association Loi 1901 Reconnue d'Utilité Publique"</f>
        <v>Association Loi 1901 Reconnue d'Utilité Publique</v>
      </c>
      <c r="Q1337" t="str">
        <f t="shared" si="230"/>
        <v>36</v>
      </c>
      <c r="R1337" t="str">
        <f t="shared" si="231"/>
        <v>Tarifs conventionnels assurance maladie</v>
      </c>
      <c r="U1337" t="str">
        <f>"600014609"</f>
        <v>600014609</v>
      </c>
    </row>
    <row r="1338" spans="1:21" x14ac:dyDescent="0.3">
      <c r="A1338" t="str">
        <f>"820009884"</f>
        <v>820009884</v>
      </c>
      <c r="D1338" t="str">
        <f>"CENTRE DENTAIRE MUTUALISTE MONCLAR"</f>
        <v>CENTRE DENTAIRE MUTUALISTE MONCLAR</v>
      </c>
      <c r="F1338" t="str">
        <f>"12 CAMP DE POUTOU"</f>
        <v>12 CAMP DE POUTOU</v>
      </c>
      <c r="H1338" t="str">
        <f>"82230"</f>
        <v>82230</v>
      </c>
      <c r="I1338" t="str">
        <f>"MONCLAR DE QUERCY"</f>
        <v>MONCLAR DE QUERCY</v>
      </c>
      <c r="L1338" s="1">
        <v>43578</v>
      </c>
      <c r="M1338" t="str">
        <f t="shared" si="220"/>
        <v>124</v>
      </c>
      <c r="N1338" t="str">
        <f t="shared" si="221"/>
        <v>Centre de Santé</v>
      </c>
      <c r="O1338" t="str">
        <f>"47"</f>
        <v>47</v>
      </c>
      <c r="P1338" t="str">
        <f>"Société Mutualiste"</f>
        <v>Société Mutualiste</v>
      </c>
      <c r="Q1338" t="str">
        <f t="shared" si="230"/>
        <v>36</v>
      </c>
      <c r="R1338" t="str">
        <f t="shared" si="231"/>
        <v>Tarifs conventionnels assurance maladie</v>
      </c>
      <c r="U1338" t="str">
        <f>"820005304"</f>
        <v>820005304</v>
      </c>
    </row>
    <row r="1339" spans="1:21" x14ac:dyDescent="0.3">
      <c r="A1339" t="str">
        <f>"920033511"</f>
        <v>920033511</v>
      </c>
      <c r="B1339" t="str">
        <f>"849 489 414 00011"</f>
        <v>849 489 414 00011</v>
      </c>
      <c r="D1339" t="str">
        <f>"CDS ACCES VISION NEUILLY"</f>
        <v>CDS ACCES VISION NEUILLY</v>
      </c>
      <c r="F1339" t="str">
        <f>"11 RUE DE L'EGLISE"</f>
        <v>11 RUE DE L'EGLISE</v>
      </c>
      <c r="H1339" t="str">
        <f>"92200"</f>
        <v>92200</v>
      </c>
      <c r="I1339" t="str">
        <f>"NEUILLY SUR SEINE"</f>
        <v>NEUILLY SUR SEINE</v>
      </c>
      <c r="L1339" s="1">
        <v>43578</v>
      </c>
      <c r="M1339" t="str">
        <f t="shared" si="220"/>
        <v>124</v>
      </c>
      <c r="N1339" t="str">
        <f t="shared" si="221"/>
        <v>Centre de Santé</v>
      </c>
      <c r="O1339" t="str">
        <f>"60"</f>
        <v>60</v>
      </c>
      <c r="P1339" t="str">
        <f>"Association Loi 1901 non Reconnue d'Utilité Publique"</f>
        <v>Association Loi 1901 non Reconnue d'Utilité Publique</v>
      </c>
      <c r="Q1339" t="str">
        <f t="shared" si="230"/>
        <v>36</v>
      </c>
      <c r="R1339" t="str">
        <f t="shared" si="231"/>
        <v>Tarifs conventionnels assurance maladie</v>
      </c>
      <c r="U1339" t="str">
        <f>"920033446"</f>
        <v>920033446</v>
      </c>
    </row>
    <row r="1340" spans="1:21" x14ac:dyDescent="0.3">
      <c r="A1340" t="str">
        <f>"330060443"</f>
        <v>330060443</v>
      </c>
      <c r="B1340" t="str">
        <f>"830 073 276 00123"</f>
        <v>830 073 276 00123</v>
      </c>
      <c r="D1340" t="str">
        <f>"CENTRE DENTAIRE TALENCE GALLIENI"</f>
        <v>CENTRE DENTAIRE TALENCE GALLIENI</v>
      </c>
      <c r="F1340" t="str">
        <f>"12 COURS MARECHAL GALLIENI"</f>
        <v>12 COURS MARECHAL GALLIENI</v>
      </c>
      <c r="H1340" t="str">
        <f>"33400"</f>
        <v>33400</v>
      </c>
      <c r="I1340" t="str">
        <f>"TALENCE"</f>
        <v>TALENCE</v>
      </c>
      <c r="J1340" t="str">
        <f>"01 85 11 10 11 "</f>
        <v xml:space="preserve">01 85 11 10 11 </v>
      </c>
      <c r="L1340" s="1">
        <v>43570</v>
      </c>
      <c r="M1340" t="str">
        <f t="shared" si="220"/>
        <v>124</v>
      </c>
      <c r="N1340" t="str">
        <f t="shared" si="221"/>
        <v>Centre de Santé</v>
      </c>
      <c r="O1340" t="str">
        <f>"60"</f>
        <v>60</v>
      </c>
      <c r="P1340" t="str">
        <f>"Association Loi 1901 non Reconnue d'Utilité Publique"</f>
        <v>Association Loi 1901 non Reconnue d'Utilité Publique</v>
      </c>
      <c r="Q1340" t="str">
        <f t="shared" si="230"/>
        <v>36</v>
      </c>
      <c r="R1340" t="str">
        <f t="shared" si="231"/>
        <v>Tarifs conventionnels assurance maladie</v>
      </c>
      <c r="U1340" t="str">
        <f>"750060345"</f>
        <v>750060345</v>
      </c>
    </row>
    <row r="1341" spans="1:21" x14ac:dyDescent="0.3">
      <c r="A1341" t="str">
        <f>"630013977"</f>
        <v>630013977</v>
      </c>
      <c r="B1341" t="str">
        <f>"775 602 436 01037"</f>
        <v>775 602 436 01037</v>
      </c>
      <c r="D1341" t="str">
        <f>"CENTRE DE SANTE DENTAIRE VOLVIC"</f>
        <v>CENTRE DE SANTE DENTAIRE VOLVIC</v>
      </c>
      <c r="F1341" t="str">
        <f>"10 AVENUE DE LA LIBERTE"</f>
        <v>10 AVENUE DE LA LIBERTE</v>
      </c>
      <c r="H1341" t="str">
        <f>"63530"</f>
        <v>63530</v>
      </c>
      <c r="I1341" t="str">
        <f>"VOLVIC"</f>
        <v>VOLVIC</v>
      </c>
      <c r="J1341" t="str">
        <f>"04 73 33 63 13 "</f>
        <v xml:space="preserve">04 73 33 63 13 </v>
      </c>
      <c r="L1341" s="1">
        <v>43570</v>
      </c>
      <c r="M1341" t="str">
        <f t="shared" si="220"/>
        <v>124</v>
      </c>
      <c r="N1341" t="str">
        <f t="shared" si="221"/>
        <v>Centre de Santé</v>
      </c>
      <c r="O1341" t="str">
        <f>"47"</f>
        <v>47</v>
      </c>
      <c r="P1341" t="str">
        <f>"Société Mutualiste"</f>
        <v>Société Mutualiste</v>
      </c>
      <c r="Q1341" t="str">
        <f t="shared" si="230"/>
        <v>36</v>
      </c>
      <c r="R1341" t="str">
        <f t="shared" si="231"/>
        <v>Tarifs conventionnels assurance maladie</v>
      </c>
      <c r="U1341" t="str">
        <f>"420787061"</f>
        <v>420787061</v>
      </c>
    </row>
    <row r="1342" spans="1:21" x14ac:dyDescent="0.3">
      <c r="A1342" t="str">
        <f>"060026283"</f>
        <v>060026283</v>
      </c>
      <c r="B1342" t="str">
        <f>"847 627 742 00012"</f>
        <v>847 627 742 00012</v>
      </c>
      <c r="D1342" t="str">
        <f>"CDS POLYVALENT VAUBAN"</f>
        <v>CDS POLYVALENT VAUBAN</v>
      </c>
      <c r="F1342" t="str">
        <f>"19 AVENUE FRANCOIS MITTERRAND"</f>
        <v>19 AVENUE FRANCOIS MITTERRAND</v>
      </c>
      <c r="H1342" t="str">
        <f>"06300"</f>
        <v>06300</v>
      </c>
      <c r="I1342" t="str">
        <f>"NICE"</f>
        <v>NICE</v>
      </c>
      <c r="J1342" t="str">
        <f>"04 42 45 06 06 "</f>
        <v xml:space="preserve">04 42 45 06 06 </v>
      </c>
      <c r="L1342" s="1">
        <v>43564</v>
      </c>
      <c r="M1342" t="str">
        <f t="shared" si="220"/>
        <v>124</v>
      </c>
      <c r="N1342" t="str">
        <f t="shared" si="221"/>
        <v>Centre de Santé</v>
      </c>
      <c r="O1342" t="str">
        <f>"61"</f>
        <v>61</v>
      </c>
      <c r="P1342" t="str">
        <f>"Association Loi 1901 Reconnue d'Utilité Publique"</f>
        <v>Association Loi 1901 Reconnue d'Utilité Publique</v>
      </c>
      <c r="Q1342" t="str">
        <f t="shared" si="230"/>
        <v>36</v>
      </c>
      <c r="R1342" t="str">
        <f t="shared" si="231"/>
        <v>Tarifs conventionnels assurance maladie</v>
      </c>
      <c r="U1342" t="str">
        <f>"060026275"</f>
        <v>060026275</v>
      </c>
    </row>
    <row r="1343" spans="1:21" x14ac:dyDescent="0.3">
      <c r="A1343" t="str">
        <f>"060026317"</f>
        <v>060026317</v>
      </c>
      <c r="D1343" t="str">
        <f>"CDS DENTAIRE DE MANDELIEU"</f>
        <v>CDS DENTAIRE DE MANDELIEU</v>
      </c>
      <c r="F1343" t="str">
        <f>"296 AVENUE JANVIER PASSERO"</f>
        <v>296 AVENUE JANVIER PASSERO</v>
      </c>
      <c r="H1343" t="str">
        <f>"06210"</f>
        <v>06210</v>
      </c>
      <c r="I1343" t="str">
        <f>"MANDELIEU LA NAPOULE"</f>
        <v>MANDELIEU LA NAPOULE</v>
      </c>
      <c r="J1343" t="str">
        <f>"04 93 49 64 50 "</f>
        <v xml:space="preserve">04 93 49 64 50 </v>
      </c>
      <c r="L1343" s="1">
        <v>43564</v>
      </c>
      <c r="M1343" t="str">
        <f t="shared" si="220"/>
        <v>124</v>
      </c>
      <c r="N1343" t="str">
        <f t="shared" si="221"/>
        <v>Centre de Santé</v>
      </c>
      <c r="O1343" t="str">
        <f>"47"</f>
        <v>47</v>
      </c>
      <c r="P1343" t="str">
        <f>"Société Mutualiste"</f>
        <v>Société Mutualiste</v>
      </c>
      <c r="Q1343" t="str">
        <f t="shared" si="230"/>
        <v>36</v>
      </c>
      <c r="R1343" t="str">
        <f t="shared" si="231"/>
        <v>Tarifs conventionnels assurance maladie</v>
      </c>
      <c r="U1343" t="str">
        <f>"130007032"</f>
        <v>130007032</v>
      </c>
    </row>
    <row r="1344" spans="1:21" x14ac:dyDescent="0.3">
      <c r="A1344" t="str">
        <f>"750063372"</f>
        <v>750063372</v>
      </c>
      <c r="B1344" t="str">
        <f>"894 489 699 00013"</f>
        <v>894 489 699 00013</v>
      </c>
      <c r="D1344" t="str">
        <f>"CDS PARIS OUEST"</f>
        <v>CDS PARIS OUEST</v>
      </c>
      <c r="F1344" t="str">
        <f>"42 AVENUE DE LA GRANDE ARMEE"</f>
        <v>42 AVENUE DE LA GRANDE ARMEE</v>
      </c>
      <c r="H1344" t="str">
        <f>"75017"</f>
        <v>75017</v>
      </c>
      <c r="I1344" t="str">
        <f>"PARIS"</f>
        <v>PARIS</v>
      </c>
      <c r="J1344" t="str">
        <f>"01 86 64 33 33 "</f>
        <v xml:space="preserve">01 86 64 33 33 </v>
      </c>
      <c r="L1344" s="1">
        <v>43564</v>
      </c>
      <c r="M1344" t="str">
        <f t="shared" si="220"/>
        <v>124</v>
      </c>
      <c r="N1344" t="str">
        <f t="shared" si="221"/>
        <v>Centre de Santé</v>
      </c>
      <c r="O1344" t="str">
        <f>"60"</f>
        <v>60</v>
      </c>
      <c r="P1344" t="str">
        <f>"Association Loi 1901 non Reconnue d'Utilité Publique"</f>
        <v>Association Loi 1901 non Reconnue d'Utilité Publique</v>
      </c>
      <c r="Q1344" t="str">
        <f t="shared" si="230"/>
        <v>36</v>
      </c>
      <c r="R1344" t="str">
        <f t="shared" si="231"/>
        <v>Tarifs conventionnels assurance maladie</v>
      </c>
      <c r="U1344" t="str">
        <f>"750067316"</f>
        <v>750067316</v>
      </c>
    </row>
    <row r="1345" spans="1:21" x14ac:dyDescent="0.3">
      <c r="A1345" t="str">
        <f>"060026333"</f>
        <v>060026333</v>
      </c>
      <c r="D1345" t="str">
        <f>"CDS DENTAIRE DENTEGO MENTON"</f>
        <v>CDS DENTAIRE DENTEGO MENTON</v>
      </c>
      <c r="F1345" t="str">
        <f>"8 AVENUE FELIX  FAURE"</f>
        <v>8 AVENUE FELIX  FAURE</v>
      </c>
      <c r="H1345" t="str">
        <f>"06500"</f>
        <v>06500</v>
      </c>
      <c r="I1345" t="str">
        <f>"MENTON"</f>
        <v>MENTON</v>
      </c>
      <c r="J1345" t="str">
        <f>"06 88 40 95 35 "</f>
        <v xml:space="preserve">06 88 40 95 35 </v>
      </c>
      <c r="L1345" s="1">
        <v>43563</v>
      </c>
      <c r="M1345" t="str">
        <f t="shared" si="220"/>
        <v>124</v>
      </c>
      <c r="N1345" t="str">
        <f t="shared" si="221"/>
        <v>Centre de Santé</v>
      </c>
      <c r="O1345" t="str">
        <f>"60"</f>
        <v>60</v>
      </c>
      <c r="P1345" t="str">
        <f>"Association Loi 1901 non Reconnue d'Utilité Publique"</f>
        <v>Association Loi 1901 non Reconnue d'Utilité Publique</v>
      </c>
      <c r="Q1345" t="str">
        <f t="shared" si="230"/>
        <v>36</v>
      </c>
      <c r="R1345" t="str">
        <f t="shared" si="231"/>
        <v>Tarifs conventionnels assurance maladie</v>
      </c>
      <c r="U1345" t="str">
        <f>"060026325"</f>
        <v>060026325</v>
      </c>
    </row>
    <row r="1346" spans="1:21" x14ac:dyDescent="0.3">
      <c r="A1346" t="str">
        <f>"570028514"</f>
        <v>570028514</v>
      </c>
      <c r="B1346" t="str">
        <f>"849 475 207 00015"</f>
        <v>849 475 207 00015</v>
      </c>
      <c r="D1346" t="str">
        <f>"CENTRE DE SANTE DENTAIRE FLOSS DENTAL"</f>
        <v>CENTRE DE SANTE DENTAIRE FLOSS DENTAL</v>
      </c>
      <c r="F1346" t="str">
        <f>"5 BOULEVARD DE TREVES"</f>
        <v>5 BOULEVARD DE TREVES</v>
      </c>
      <c r="H1346" t="str">
        <f>"57070"</f>
        <v>57070</v>
      </c>
      <c r="I1346" t="str">
        <f>"METZ"</f>
        <v>METZ</v>
      </c>
      <c r="J1346" t="str">
        <f>"03 87 75 77 04 "</f>
        <v xml:space="preserve">03 87 75 77 04 </v>
      </c>
      <c r="L1346" s="1">
        <v>43563</v>
      </c>
      <c r="M1346" t="str">
        <f t="shared" ref="M1346:M1409" si="232">"124"</f>
        <v>124</v>
      </c>
      <c r="N1346" t="str">
        <f t="shared" ref="N1346:N1409" si="233">"Centre de Santé"</f>
        <v>Centre de Santé</v>
      </c>
      <c r="O1346" t="str">
        <f>"62"</f>
        <v>62</v>
      </c>
      <c r="P1346" t="str">
        <f>"Association de Droit Local"</f>
        <v>Association de Droit Local</v>
      </c>
      <c r="Q1346" t="str">
        <f t="shared" si="230"/>
        <v>36</v>
      </c>
      <c r="R1346" t="str">
        <f t="shared" si="231"/>
        <v>Tarifs conventionnels assurance maladie</v>
      </c>
      <c r="U1346" t="str">
        <f>"570028506"</f>
        <v>570028506</v>
      </c>
    </row>
    <row r="1347" spans="1:21" x14ac:dyDescent="0.3">
      <c r="A1347" t="str">
        <f>"250020567"</f>
        <v>250020567</v>
      </c>
      <c r="B1347" t="str">
        <f>"839 538 519 00019"</f>
        <v>839 538 519 00019</v>
      </c>
      <c r="D1347" t="str">
        <f>"CENTRE MEDICO DENTAIRE BESANÇON"</f>
        <v>CENTRE MEDICO DENTAIRE BESANÇON</v>
      </c>
      <c r="F1347" t="str">
        <f>"4 RUE DE LA PREFECTURE"</f>
        <v>4 RUE DE LA PREFECTURE</v>
      </c>
      <c r="H1347" t="str">
        <f>"25000"</f>
        <v>25000</v>
      </c>
      <c r="I1347" t="str">
        <f>"BESANCON"</f>
        <v>BESANCON</v>
      </c>
      <c r="L1347" s="1">
        <v>43559</v>
      </c>
      <c r="M1347" t="str">
        <f t="shared" si="232"/>
        <v>124</v>
      </c>
      <c r="N1347" t="str">
        <f t="shared" si="233"/>
        <v>Centre de Santé</v>
      </c>
      <c r="O1347" t="str">
        <f>"60"</f>
        <v>60</v>
      </c>
      <c r="P1347" t="str">
        <f>"Association Loi 1901 non Reconnue d'Utilité Publique"</f>
        <v>Association Loi 1901 non Reconnue d'Utilité Publique</v>
      </c>
      <c r="Q1347" t="str">
        <f t="shared" si="230"/>
        <v>36</v>
      </c>
      <c r="R1347" t="str">
        <f t="shared" si="231"/>
        <v>Tarifs conventionnels assurance maladie</v>
      </c>
      <c r="U1347" t="str">
        <f>"940024300"</f>
        <v>940024300</v>
      </c>
    </row>
    <row r="1348" spans="1:21" x14ac:dyDescent="0.3">
      <c r="A1348" t="str">
        <f>"690044946"</f>
        <v>690044946</v>
      </c>
      <c r="B1348" t="str">
        <f>"812 502 425 00026"</f>
        <v>812 502 425 00026</v>
      </c>
      <c r="D1348" t="str">
        <f>"CENTRE DE SANTE LABELIA SATHONAY"</f>
        <v>CENTRE DE SANTE LABELIA SATHONAY</v>
      </c>
      <c r="F1348" t="str">
        <f>"3 AVENUE FELIX FAURE"</f>
        <v>3 AVENUE FELIX FAURE</v>
      </c>
      <c r="H1348" t="str">
        <f>"69580"</f>
        <v>69580</v>
      </c>
      <c r="I1348" t="str">
        <f>"SATHONAY CAMP"</f>
        <v>SATHONAY CAMP</v>
      </c>
      <c r="J1348" t="str">
        <f>"04 72 02 54 65 "</f>
        <v xml:space="preserve">04 72 02 54 65 </v>
      </c>
      <c r="L1348" s="1">
        <v>43556</v>
      </c>
      <c r="M1348" t="str">
        <f t="shared" si="232"/>
        <v>124</v>
      </c>
      <c r="N1348" t="str">
        <f t="shared" si="233"/>
        <v>Centre de Santé</v>
      </c>
      <c r="O1348" t="str">
        <f>"61"</f>
        <v>61</v>
      </c>
      <c r="P1348" t="str">
        <f>"Association Loi 1901 Reconnue d'Utilité Publique"</f>
        <v>Association Loi 1901 Reconnue d'Utilité Publique</v>
      </c>
      <c r="Q1348" t="str">
        <f t="shared" si="230"/>
        <v>36</v>
      </c>
      <c r="R1348" t="str">
        <f t="shared" si="231"/>
        <v>Tarifs conventionnels assurance maladie</v>
      </c>
      <c r="U1348" t="str">
        <f>"690041207"</f>
        <v>690041207</v>
      </c>
    </row>
    <row r="1349" spans="1:21" x14ac:dyDescent="0.3">
      <c r="A1349" t="str">
        <f>"750062572"</f>
        <v>750062572</v>
      </c>
      <c r="B1349" t="str">
        <f>"840 265 185 00016"</f>
        <v>840 265 185 00016</v>
      </c>
      <c r="D1349" t="str">
        <f>"CDS MEDICO-DENTAIRE CARDINET"</f>
        <v>CDS MEDICO-DENTAIRE CARDINET</v>
      </c>
      <c r="F1349" t="str">
        <f>"170 RUE CARDINET"</f>
        <v>170 RUE CARDINET</v>
      </c>
      <c r="H1349" t="str">
        <f>"75017"</f>
        <v>75017</v>
      </c>
      <c r="I1349" t="str">
        <f>"PARIS"</f>
        <v>PARIS</v>
      </c>
      <c r="L1349" s="1">
        <v>43556</v>
      </c>
      <c r="M1349" t="str">
        <f t="shared" si="232"/>
        <v>124</v>
      </c>
      <c r="N1349" t="str">
        <f t="shared" si="233"/>
        <v>Centre de Santé</v>
      </c>
      <c r="O1349" t="str">
        <f>"60"</f>
        <v>60</v>
      </c>
      <c r="P1349" t="str">
        <f>"Association Loi 1901 non Reconnue d'Utilité Publique"</f>
        <v>Association Loi 1901 non Reconnue d'Utilité Publique</v>
      </c>
      <c r="Q1349" t="str">
        <f t="shared" si="230"/>
        <v>36</v>
      </c>
      <c r="R1349" t="str">
        <f t="shared" si="231"/>
        <v>Tarifs conventionnels assurance maladie</v>
      </c>
      <c r="U1349" t="str">
        <f>"940024656"</f>
        <v>940024656</v>
      </c>
    </row>
    <row r="1350" spans="1:21" x14ac:dyDescent="0.3">
      <c r="A1350" t="str">
        <f>"970112975"</f>
        <v>970112975</v>
      </c>
      <c r="D1350" t="str">
        <f>"CENTRE DE SANTE HANDIDENT GUADELOUPE"</f>
        <v>CENTRE DE SANTE HANDIDENT GUADELOUPE</v>
      </c>
      <c r="F1350" t="str">
        <f>"52 RUE JEAN JAURES"</f>
        <v>52 RUE JEAN JAURES</v>
      </c>
      <c r="H1350" t="str">
        <f>"97110"</f>
        <v>97110</v>
      </c>
      <c r="I1350" t="str">
        <f>"POINTE A PITRE"</f>
        <v>POINTE A PITRE</v>
      </c>
      <c r="L1350" s="1">
        <v>43556</v>
      </c>
      <c r="M1350" t="str">
        <f t="shared" si="232"/>
        <v>124</v>
      </c>
      <c r="N1350" t="str">
        <f t="shared" si="233"/>
        <v>Centre de Santé</v>
      </c>
      <c r="O1350" t="str">
        <f>"60"</f>
        <v>60</v>
      </c>
      <c r="P1350" t="str">
        <f>"Association Loi 1901 non Reconnue d'Utilité Publique"</f>
        <v>Association Loi 1901 non Reconnue d'Utilité Publique</v>
      </c>
      <c r="Q1350" t="str">
        <f t="shared" si="230"/>
        <v>36</v>
      </c>
      <c r="R1350" t="str">
        <f t="shared" si="231"/>
        <v>Tarifs conventionnels assurance maladie</v>
      </c>
      <c r="U1350" t="str">
        <f>"970112967"</f>
        <v>970112967</v>
      </c>
    </row>
    <row r="1351" spans="1:21" x14ac:dyDescent="0.3">
      <c r="A1351" t="str">
        <f>"940024086"</f>
        <v>940024086</v>
      </c>
      <c r="D1351" t="str">
        <f>"CDS DENTAIRE VITRY - CDV"</f>
        <v>CDS DENTAIRE VITRY - CDV</v>
      </c>
      <c r="F1351" t="str">
        <f>"34 AVENUE YOURI GAGARINE"</f>
        <v>34 AVENUE YOURI GAGARINE</v>
      </c>
      <c r="H1351" t="str">
        <f>"94400"</f>
        <v>94400</v>
      </c>
      <c r="I1351" t="str">
        <f>"VITRY SUR SEINE"</f>
        <v>VITRY SUR SEINE</v>
      </c>
      <c r="L1351" s="1">
        <v>43553</v>
      </c>
      <c r="M1351" t="str">
        <f t="shared" si="232"/>
        <v>124</v>
      </c>
      <c r="N1351" t="str">
        <f t="shared" si="233"/>
        <v>Centre de Santé</v>
      </c>
      <c r="O1351" t="str">
        <f>"60"</f>
        <v>60</v>
      </c>
      <c r="P1351" t="str">
        <f>"Association Loi 1901 non Reconnue d'Utilité Publique"</f>
        <v>Association Loi 1901 non Reconnue d'Utilité Publique</v>
      </c>
      <c r="Q1351" t="str">
        <f t="shared" si="230"/>
        <v>36</v>
      </c>
      <c r="R1351" t="str">
        <f t="shared" si="231"/>
        <v>Tarifs conventionnels assurance maladie</v>
      </c>
      <c r="U1351" t="str">
        <f>"940024078"</f>
        <v>940024078</v>
      </c>
    </row>
    <row r="1352" spans="1:21" x14ac:dyDescent="0.3">
      <c r="A1352" t="str">
        <f>"060026309"</f>
        <v>060026309</v>
      </c>
      <c r="B1352" t="str">
        <f>"848 955 589 00017"</f>
        <v>848 955 589 00017</v>
      </c>
      <c r="D1352" t="str">
        <f>"CDS POLYVALENT TRACHEL"</f>
        <v>CDS POLYVALENT TRACHEL</v>
      </c>
      <c r="F1352" t="str">
        <f>"40 RUE TRACHEL"</f>
        <v>40 RUE TRACHEL</v>
      </c>
      <c r="H1352" t="str">
        <f>"06000"</f>
        <v>06000</v>
      </c>
      <c r="I1352" t="str">
        <f>"NICE"</f>
        <v>NICE</v>
      </c>
      <c r="J1352" t="str">
        <f>"04 22 54 22 54 "</f>
        <v xml:space="preserve">04 22 54 22 54 </v>
      </c>
      <c r="L1352" s="1">
        <v>43546</v>
      </c>
      <c r="M1352" t="str">
        <f t="shared" si="232"/>
        <v>124</v>
      </c>
      <c r="N1352" t="str">
        <f t="shared" si="233"/>
        <v>Centre de Santé</v>
      </c>
      <c r="O1352" t="str">
        <f>"61"</f>
        <v>61</v>
      </c>
      <c r="P1352" t="str">
        <f>"Association Loi 1901 Reconnue d'Utilité Publique"</f>
        <v>Association Loi 1901 Reconnue d'Utilité Publique</v>
      </c>
      <c r="Q1352" t="str">
        <f t="shared" si="230"/>
        <v>36</v>
      </c>
      <c r="R1352" t="str">
        <f t="shared" si="231"/>
        <v>Tarifs conventionnels assurance maladie</v>
      </c>
      <c r="U1352" t="str">
        <f>"060026291"</f>
        <v>060026291</v>
      </c>
    </row>
    <row r="1353" spans="1:21" x14ac:dyDescent="0.3">
      <c r="A1353" t="str">
        <f>"350053328"</f>
        <v>350053328</v>
      </c>
      <c r="D1353" t="str">
        <f>"CDS LOUVIGNE DU DESERT"</f>
        <v>CDS LOUVIGNE DU DESERT</v>
      </c>
      <c r="F1353" t="str">
        <f>"31 RUE DE LA LIBERATION"</f>
        <v>31 RUE DE LA LIBERATION</v>
      </c>
      <c r="H1353" t="str">
        <f>"35420"</f>
        <v>35420</v>
      </c>
      <c r="I1353" t="str">
        <f>"LOUVIGNE DU DESERT"</f>
        <v>LOUVIGNE DU DESERT</v>
      </c>
      <c r="L1353" s="1">
        <v>43546</v>
      </c>
      <c r="M1353" t="str">
        <f t="shared" si="232"/>
        <v>124</v>
      </c>
      <c r="N1353" t="str">
        <f t="shared" si="233"/>
        <v>Centre de Santé</v>
      </c>
      <c r="O1353" t="str">
        <f>"13"</f>
        <v>13</v>
      </c>
      <c r="P1353" t="str">
        <f>"Etablissement Public Communal d'Hospitalisation"</f>
        <v>Etablissement Public Communal d'Hospitalisation</v>
      </c>
      <c r="Q1353" t="str">
        <f t="shared" si="230"/>
        <v>36</v>
      </c>
      <c r="R1353" t="str">
        <f t="shared" si="231"/>
        <v>Tarifs conventionnels assurance maladie</v>
      </c>
      <c r="U1353" t="str">
        <f>"350000030"</f>
        <v>350000030</v>
      </c>
    </row>
    <row r="1354" spans="1:21" x14ac:dyDescent="0.3">
      <c r="A1354" t="str">
        <f>"250020617"</f>
        <v>250020617</v>
      </c>
      <c r="B1354" t="str">
        <f>"838 719 532 00015"</f>
        <v>838 719 532 00015</v>
      </c>
      <c r="D1354" t="str">
        <f>"CENTRE SANTE MEDICO DENTAIRE"</f>
        <v>CENTRE SANTE MEDICO DENTAIRE</v>
      </c>
      <c r="F1354" t="str">
        <f>"14 RUE DE LA PREFECTURE"</f>
        <v>14 RUE DE LA PREFECTURE</v>
      </c>
      <c r="H1354" t="str">
        <f>"25000"</f>
        <v>25000</v>
      </c>
      <c r="I1354" t="str">
        <f>"BESANCON"</f>
        <v>BESANCON</v>
      </c>
      <c r="L1354" s="1">
        <v>43542</v>
      </c>
      <c r="M1354" t="str">
        <f t="shared" si="232"/>
        <v>124</v>
      </c>
      <c r="N1354" t="str">
        <f t="shared" si="233"/>
        <v>Centre de Santé</v>
      </c>
      <c r="O1354" t="str">
        <f t="shared" ref="O1354:O1359" si="234">"60"</f>
        <v>60</v>
      </c>
      <c r="P1354" t="str">
        <f t="shared" ref="P1354:P1359" si="235">"Association Loi 1901 non Reconnue d'Utilité Publique"</f>
        <v>Association Loi 1901 non Reconnue d'Utilité Publique</v>
      </c>
      <c r="Q1354" t="str">
        <f t="shared" si="230"/>
        <v>36</v>
      </c>
      <c r="R1354" t="str">
        <f t="shared" si="231"/>
        <v>Tarifs conventionnels assurance maladie</v>
      </c>
      <c r="U1354" t="str">
        <f>"250020609"</f>
        <v>250020609</v>
      </c>
    </row>
    <row r="1355" spans="1:21" x14ac:dyDescent="0.3">
      <c r="A1355" t="str">
        <f>"690044961"</f>
        <v>690044961</v>
      </c>
      <c r="B1355" t="str">
        <f>"844 095 695 00012"</f>
        <v>844 095 695 00012</v>
      </c>
      <c r="D1355" t="str">
        <f>"CENTRE DE SANTE DENTAIRE DE PART-DIEU"</f>
        <v>CENTRE DE SANTE DENTAIRE DE PART-DIEU</v>
      </c>
      <c r="F1355" t="str">
        <f>"20 RUE DE LA VILLETTE"</f>
        <v>20 RUE DE LA VILLETTE</v>
      </c>
      <c r="H1355" t="str">
        <f>"69003"</f>
        <v>69003</v>
      </c>
      <c r="I1355" t="str">
        <f>"LYON"</f>
        <v>LYON</v>
      </c>
      <c r="J1355" t="str">
        <f>"01 58 57 84 97 "</f>
        <v xml:space="preserve">01 58 57 84 97 </v>
      </c>
      <c r="L1355" s="1">
        <v>43542</v>
      </c>
      <c r="M1355" t="str">
        <f t="shared" si="232"/>
        <v>124</v>
      </c>
      <c r="N1355" t="str">
        <f t="shared" si="233"/>
        <v>Centre de Santé</v>
      </c>
      <c r="O1355" t="str">
        <f t="shared" si="234"/>
        <v>60</v>
      </c>
      <c r="P1355" t="str">
        <f t="shared" si="235"/>
        <v>Association Loi 1901 non Reconnue d'Utilité Publique</v>
      </c>
      <c r="Q1355" t="str">
        <f t="shared" si="230"/>
        <v>36</v>
      </c>
      <c r="R1355" t="str">
        <f t="shared" si="231"/>
        <v>Tarifs conventionnels assurance maladie</v>
      </c>
      <c r="U1355" t="str">
        <f>"690044953"</f>
        <v>690044953</v>
      </c>
    </row>
    <row r="1356" spans="1:21" x14ac:dyDescent="0.3">
      <c r="A1356" t="str">
        <f>"750063331"</f>
        <v>750063331</v>
      </c>
      <c r="B1356" t="str">
        <f>"844 052 118 00016"</f>
        <v>844 052 118 00016</v>
      </c>
      <c r="D1356" t="str">
        <f>"CDS DENTAIRE CLINADENT PARIS LOUVRE"</f>
        <v>CDS DENTAIRE CLINADENT PARIS LOUVRE</v>
      </c>
      <c r="F1356" t="str">
        <f>"33 RUE DU LOUVRE"</f>
        <v>33 RUE DU LOUVRE</v>
      </c>
      <c r="H1356" t="str">
        <f>"75002"</f>
        <v>75002</v>
      </c>
      <c r="I1356" t="str">
        <f>"PARIS"</f>
        <v>PARIS</v>
      </c>
      <c r="J1356" t="str">
        <f>"01 45 08 48 40 "</f>
        <v xml:space="preserve">01 45 08 48 40 </v>
      </c>
      <c r="L1356" s="1">
        <v>43539</v>
      </c>
      <c r="M1356" t="str">
        <f t="shared" si="232"/>
        <v>124</v>
      </c>
      <c r="N1356" t="str">
        <f t="shared" si="233"/>
        <v>Centre de Santé</v>
      </c>
      <c r="O1356" t="str">
        <f t="shared" si="234"/>
        <v>60</v>
      </c>
      <c r="P1356" t="str">
        <f t="shared" si="235"/>
        <v>Association Loi 1901 non Reconnue d'Utilité Publique</v>
      </c>
      <c r="Q1356" t="str">
        <f t="shared" si="230"/>
        <v>36</v>
      </c>
      <c r="R1356" t="str">
        <f t="shared" si="231"/>
        <v>Tarifs conventionnels assurance maladie</v>
      </c>
      <c r="U1356" t="str">
        <f>"750063216"</f>
        <v>750063216</v>
      </c>
    </row>
    <row r="1357" spans="1:21" x14ac:dyDescent="0.3">
      <c r="A1357" t="str">
        <f>"920033396"</f>
        <v>920033396</v>
      </c>
      <c r="B1357" t="str">
        <f>"847 942 984 00026"</f>
        <v>847 942 984 00026</v>
      </c>
      <c r="D1357" t="str">
        <f>"CDS MEDICAL DENTAIRE ASNIERES MAIRIE"</f>
        <v>CDS MEDICAL DENTAIRE ASNIERES MAIRIE</v>
      </c>
      <c r="F1357" t="str">
        <f>"15 RUE PIERRE BROSSOLETTE"</f>
        <v>15 RUE PIERRE BROSSOLETTE</v>
      </c>
      <c r="H1357" t="str">
        <f>"92600"</f>
        <v>92600</v>
      </c>
      <c r="I1357" t="str">
        <f>"ASNIERES SUR SEINE"</f>
        <v>ASNIERES SUR SEINE</v>
      </c>
      <c r="L1357" s="1">
        <v>43539</v>
      </c>
      <c r="M1357" t="str">
        <f t="shared" si="232"/>
        <v>124</v>
      </c>
      <c r="N1357" t="str">
        <f t="shared" si="233"/>
        <v>Centre de Santé</v>
      </c>
      <c r="O1357" t="str">
        <f t="shared" si="234"/>
        <v>60</v>
      </c>
      <c r="P1357" t="str">
        <f t="shared" si="235"/>
        <v>Association Loi 1901 non Reconnue d'Utilité Publique</v>
      </c>
      <c r="Q1357" t="str">
        <f t="shared" si="230"/>
        <v>36</v>
      </c>
      <c r="R1357" t="str">
        <f t="shared" si="231"/>
        <v>Tarifs conventionnels assurance maladie</v>
      </c>
      <c r="U1357" t="str">
        <f>"920033289"</f>
        <v>920033289</v>
      </c>
    </row>
    <row r="1358" spans="1:21" x14ac:dyDescent="0.3">
      <c r="A1358" t="str">
        <f>"920033404"</f>
        <v>920033404</v>
      </c>
      <c r="B1358" t="str">
        <f>"844 462 713 00018"</f>
        <v>844 462 713 00018</v>
      </c>
      <c r="D1358" t="str">
        <f>"CDS DENTAIRE ET ORTHO JEAN JAURES"</f>
        <v>CDS DENTAIRE ET ORTHO JEAN JAURES</v>
      </c>
      <c r="F1358" t="str">
        <f>"19 AVENUE EDOUARD VAILLANT"</f>
        <v>19 AVENUE EDOUARD VAILLANT</v>
      </c>
      <c r="H1358" t="str">
        <f>"92150"</f>
        <v>92150</v>
      </c>
      <c r="I1358" t="str">
        <f>"SURESNES"</f>
        <v>SURESNES</v>
      </c>
      <c r="L1358" s="1">
        <v>43539</v>
      </c>
      <c r="M1358" t="str">
        <f t="shared" si="232"/>
        <v>124</v>
      </c>
      <c r="N1358" t="str">
        <f t="shared" si="233"/>
        <v>Centre de Santé</v>
      </c>
      <c r="O1358" t="str">
        <f t="shared" si="234"/>
        <v>60</v>
      </c>
      <c r="P1358" t="str">
        <f t="shared" si="235"/>
        <v>Association Loi 1901 non Reconnue d'Utilité Publique</v>
      </c>
      <c r="Q1358" t="str">
        <f t="shared" si="230"/>
        <v>36</v>
      </c>
      <c r="R1358" t="str">
        <f t="shared" si="231"/>
        <v>Tarifs conventionnels assurance maladie</v>
      </c>
      <c r="U1358" t="str">
        <f>"920033271"</f>
        <v>920033271</v>
      </c>
    </row>
    <row r="1359" spans="1:21" x14ac:dyDescent="0.3">
      <c r="A1359" t="str">
        <f>"950044495"</f>
        <v>950044495</v>
      </c>
      <c r="B1359" t="str">
        <f>"840 156 806 00019"</f>
        <v>840 156 806 00019</v>
      </c>
      <c r="D1359" t="str">
        <f>"CDS DENTAIRE BEZONS"</f>
        <v>CDS DENTAIRE BEZONS</v>
      </c>
      <c r="F1359" t="str">
        <f>"128 RUE JEAN JAURES"</f>
        <v>128 RUE JEAN JAURES</v>
      </c>
      <c r="H1359" t="str">
        <f>"95870"</f>
        <v>95870</v>
      </c>
      <c r="I1359" t="str">
        <f>"BEZONS"</f>
        <v>BEZONS</v>
      </c>
      <c r="L1359" s="1">
        <v>43539</v>
      </c>
      <c r="M1359" t="str">
        <f t="shared" si="232"/>
        <v>124</v>
      </c>
      <c r="N1359" t="str">
        <f t="shared" si="233"/>
        <v>Centre de Santé</v>
      </c>
      <c r="O1359" t="str">
        <f t="shared" si="234"/>
        <v>60</v>
      </c>
      <c r="P1359" t="str">
        <f t="shared" si="235"/>
        <v>Association Loi 1901 non Reconnue d'Utilité Publique</v>
      </c>
      <c r="Q1359" t="str">
        <f t="shared" si="230"/>
        <v>36</v>
      </c>
      <c r="R1359" t="str">
        <f t="shared" si="231"/>
        <v>Tarifs conventionnels assurance maladie</v>
      </c>
      <c r="U1359" t="str">
        <f>"750063224"</f>
        <v>750063224</v>
      </c>
    </row>
    <row r="1360" spans="1:21" x14ac:dyDescent="0.3">
      <c r="A1360" t="str">
        <f>"220023022"</f>
        <v>220023022</v>
      </c>
      <c r="B1360" t="str">
        <f>"200 054 369 00018"</f>
        <v>200 054 369 00018</v>
      </c>
      <c r="D1360" t="str">
        <f>"CDS DU MENE"</f>
        <v>CDS DU MENE</v>
      </c>
      <c r="F1360" t="str">
        <f>"2 RUE DES CHATAIGNERS"</f>
        <v>2 RUE DES CHATAIGNERS</v>
      </c>
      <c r="G1360" t="str">
        <f>"PLESSALA"</f>
        <v>PLESSALA</v>
      </c>
      <c r="H1360" t="str">
        <f>"22330"</f>
        <v>22330</v>
      </c>
      <c r="I1360" t="str">
        <f>"LE MENE"</f>
        <v>LE MENE</v>
      </c>
      <c r="J1360" t="str">
        <f>"02 96 26 11 04 "</f>
        <v xml:space="preserve">02 96 26 11 04 </v>
      </c>
      <c r="L1360" s="1">
        <v>43538</v>
      </c>
      <c r="M1360" t="str">
        <f t="shared" si="232"/>
        <v>124</v>
      </c>
      <c r="N1360" t="str">
        <f t="shared" si="233"/>
        <v>Centre de Santé</v>
      </c>
      <c r="O1360" t="str">
        <f>"17"</f>
        <v>17</v>
      </c>
      <c r="P1360" t="str">
        <f>"Centre Communal d'Action Sociale"</f>
        <v>Centre Communal d'Action Sociale</v>
      </c>
      <c r="Q1360" t="str">
        <f t="shared" si="230"/>
        <v>36</v>
      </c>
      <c r="R1360" t="str">
        <f t="shared" si="231"/>
        <v>Tarifs conventionnels assurance maladie</v>
      </c>
      <c r="U1360" t="str">
        <f>"220022917"</f>
        <v>220022917</v>
      </c>
    </row>
    <row r="1361" spans="1:21" x14ac:dyDescent="0.3">
      <c r="A1361" t="str">
        <f>"770022556"</f>
        <v>770022556</v>
      </c>
      <c r="B1361" t="str">
        <f>"848 217 915 00018"</f>
        <v>848 217 915 00018</v>
      </c>
      <c r="D1361" t="str">
        <f>"CDS MEDICO-DENTAIRE NOISIEL"</f>
        <v>CDS MEDICO-DENTAIRE NOISIEL</v>
      </c>
      <c r="F1361" t="str">
        <f>"42 COURS DES ROCHES"</f>
        <v>42 COURS DES ROCHES</v>
      </c>
      <c r="H1361" t="str">
        <f>"77186"</f>
        <v>77186</v>
      </c>
      <c r="I1361" t="str">
        <f>"NOISIEL"</f>
        <v>NOISIEL</v>
      </c>
      <c r="L1361" s="1">
        <v>43536</v>
      </c>
      <c r="M1361" t="str">
        <f t="shared" si="232"/>
        <v>124</v>
      </c>
      <c r="N1361" t="str">
        <f t="shared" si="233"/>
        <v>Centre de Santé</v>
      </c>
      <c r="O1361" t="str">
        <f>"60"</f>
        <v>60</v>
      </c>
      <c r="P1361" t="str">
        <f>"Association Loi 1901 non Reconnue d'Utilité Publique"</f>
        <v>Association Loi 1901 non Reconnue d'Utilité Publique</v>
      </c>
      <c r="Q1361" t="str">
        <f t="shared" si="230"/>
        <v>36</v>
      </c>
      <c r="R1361" t="str">
        <f t="shared" si="231"/>
        <v>Tarifs conventionnels assurance maladie</v>
      </c>
      <c r="U1361" t="str">
        <f>"770022549"</f>
        <v>770022549</v>
      </c>
    </row>
    <row r="1362" spans="1:21" x14ac:dyDescent="0.3">
      <c r="A1362" t="str">
        <f>"330060625"</f>
        <v>330060625</v>
      </c>
      <c r="B1362" t="str">
        <f>"830 073 276 00115"</f>
        <v>830 073 276 00115</v>
      </c>
      <c r="D1362" t="str">
        <f>"CDS DENTAIRE PESSAC"</f>
        <v>CDS DENTAIRE PESSAC</v>
      </c>
      <c r="F1362" t="str">
        <f>"16 RUE DES POILUS"</f>
        <v>16 RUE DES POILUS</v>
      </c>
      <c r="H1362" t="str">
        <f>"33600"</f>
        <v>33600</v>
      </c>
      <c r="I1362" t="str">
        <f>"PESSAC"</f>
        <v>PESSAC</v>
      </c>
      <c r="J1362" t="str">
        <f>"01 85 11 10 11 "</f>
        <v xml:space="preserve">01 85 11 10 11 </v>
      </c>
      <c r="L1362" s="1">
        <v>43535</v>
      </c>
      <c r="M1362" t="str">
        <f t="shared" si="232"/>
        <v>124</v>
      </c>
      <c r="N1362" t="str">
        <f t="shared" si="233"/>
        <v>Centre de Santé</v>
      </c>
      <c r="O1362" t="str">
        <f>"60"</f>
        <v>60</v>
      </c>
      <c r="P1362" t="str">
        <f>"Association Loi 1901 non Reconnue d'Utilité Publique"</f>
        <v>Association Loi 1901 non Reconnue d'Utilité Publique</v>
      </c>
      <c r="Q1362" t="str">
        <f t="shared" si="230"/>
        <v>36</v>
      </c>
      <c r="R1362" t="str">
        <f t="shared" si="231"/>
        <v>Tarifs conventionnels assurance maladie</v>
      </c>
      <c r="U1362" t="str">
        <f>"750060345"</f>
        <v>750060345</v>
      </c>
    </row>
    <row r="1363" spans="1:21" x14ac:dyDescent="0.3">
      <c r="A1363" t="str">
        <f>"330060336"</f>
        <v>330060336</v>
      </c>
      <c r="B1363" t="str">
        <f>"839 614 468 00024"</f>
        <v>839 614 468 00024</v>
      </c>
      <c r="D1363" t="str">
        <f>"CENTRE DENTAIRE MERIADECK"</f>
        <v>CENTRE DENTAIRE MERIADECK</v>
      </c>
      <c r="E1363" t="str">
        <f>"CC BORDEAUX MERIADECK"</f>
        <v>CC BORDEAUX MERIADECK</v>
      </c>
      <c r="F1363" t="str">
        <f>"57 RUE DU CHATEAU D'EAU"</f>
        <v>57 RUE DU CHATEAU D'EAU</v>
      </c>
      <c r="H1363" t="str">
        <f>"33000"</f>
        <v>33000</v>
      </c>
      <c r="I1363" t="str">
        <f>"BORDEAUX"</f>
        <v>BORDEAUX</v>
      </c>
      <c r="J1363" t="str">
        <f>"07 85 30 53 44 "</f>
        <v xml:space="preserve">07 85 30 53 44 </v>
      </c>
      <c r="L1363" s="1">
        <v>43531</v>
      </c>
      <c r="M1363" t="str">
        <f t="shared" si="232"/>
        <v>124</v>
      </c>
      <c r="N1363" t="str">
        <f t="shared" si="233"/>
        <v>Centre de Santé</v>
      </c>
      <c r="O1363" t="str">
        <f>"60"</f>
        <v>60</v>
      </c>
      <c r="P1363" t="str">
        <f>"Association Loi 1901 non Reconnue d'Utilité Publique"</f>
        <v>Association Loi 1901 non Reconnue d'Utilité Publique</v>
      </c>
      <c r="Q1363" t="str">
        <f t="shared" si="230"/>
        <v>36</v>
      </c>
      <c r="R1363" t="str">
        <f t="shared" si="231"/>
        <v>Tarifs conventionnels assurance maladie</v>
      </c>
      <c r="U1363" t="str">
        <f>"330061680"</f>
        <v>330061680</v>
      </c>
    </row>
    <row r="1364" spans="1:21" x14ac:dyDescent="0.3">
      <c r="A1364" t="str">
        <f>"490021029"</f>
        <v>490021029</v>
      </c>
      <c r="B1364" t="str">
        <f>"329 744 882 00054"</f>
        <v>329 744 882 00054</v>
      </c>
      <c r="D1364" t="str">
        <f>"CENTRE DE SANTE PLURIPROFESSIONNEL"</f>
        <v>CENTRE DE SANTE PLURIPROFESSIONNEL</v>
      </c>
      <c r="F1364" t="str">
        <f>"4 ALLEE DES BRUYERES"</f>
        <v>4 ALLEE DES BRUYERES</v>
      </c>
      <c r="G1364" t="str">
        <f>"SAINT LAURENT DE LA PLAINE"</f>
        <v>SAINT LAURENT DE LA PLAINE</v>
      </c>
      <c r="H1364" t="str">
        <f>"49290"</f>
        <v>49290</v>
      </c>
      <c r="I1364" t="str">
        <f>"MAUGES SUR LOIRE"</f>
        <v>MAUGES SUR LOIRE</v>
      </c>
      <c r="L1364" s="1">
        <v>43528</v>
      </c>
      <c r="M1364" t="str">
        <f t="shared" si="232"/>
        <v>124</v>
      </c>
      <c r="N1364" t="str">
        <f t="shared" si="233"/>
        <v>Centre de Santé</v>
      </c>
      <c r="O1364" t="str">
        <f>"60"</f>
        <v>60</v>
      </c>
      <c r="P1364" t="str">
        <f>"Association Loi 1901 non Reconnue d'Utilité Publique"</f>
        <v>Association Loi 1901 non Reconnue d'Utilité Publique</v>
      </c>
      <c r="Q1364" t="str">
        <f t="shared" si="230"/>
        <v>36</v>
      </c>
      <c r="R1364" t="str">
        <f t="shared" si="231"/>
        <v>Tarifs conventionnels assurance maladie</v>
      </c>
      <c r="U1364" t="str">
        <f>"490535010"</f>
        <v>490535010</v>
      </c>
    </row>
    <row r="1365" spans="1:21" x14ac:dyDescent="0.3">
      <c r="A1365" t="str">
        <f>"720021310"</f>
        <v>720021310</v>
      </c>
      <c r="D1365" t="str">
        <f>"CENTRE MUNICIPAL DE SANTE"</f>
        <v>CENTRE MUNICIPAL DE SANTE</v>
      </c>
      <c r="F1365" t="str">
        <f>"3 RUE DES POMMES D'AMOUR"</f>
        <v>3 RUE DES POMMES D'AMOUR</v>
      </c>
      <c r="H1365" t="str">
        <f>"72260"</f>
        <v>72260</v>
      </c>
      <c r="I1365" t="str">
        <f>"MAROLLES LES BRAULTS"</f>
        <v>MAROLLES LES BRAULTS</v>
      </c>
      <c r="J1365" t="str">
        <f>"02 43 97 48 94 "</f>
        <v xml:space="preserve">02 43 97 48 94 </v>
      </c>
      <c r="L1365" s="1">
        <v>43528</v>
      </c>
      <c r="M1365" t="str">
        <f t="shared" si="232"/>
        <v>124</v>
      </c>
      <c r="N1365" t="str">
        <f t="shared" si="233"/>
        <v>Centre de Santé</v>
      </c>
      <c r="O1365" t="str">
        <f>"03"</f>
        <v>03</v>
      </c>
      <c r="P1365" t="str">
        <f>"Commune"</f>
        <v>Commune</v>
      </c>
      <c r="Q1365" t="str">
        <f t="shared" si="230"/>
        <v>36</v>
      </c>
      <c r="R1365" t="str">
        <f t="shared" si="231"/>
        <v>Tarifs conventionnels assurance maladie</v>
      </c>
      <c r="U1365" t="str">
        <f>"720021302"</f>
        <v>720021302</v>
      </c>
    </row>
    <row r="1366" spans="1:21" x14ac:dyDescent="0.3">
      <c r="A1366" t="str">
        <f>"750062622"</f>
        <v>750062622</v>
      </c>
      <c r="B1366" t="str">
        <f>"841 313 166 00016"</f>
        <v>841 313 166 00016</v>
      </c>
      <c r="D1366" t="str">
        <f>"CDS OPHTALMO BEAUGRENELLE OPHTALYS"</f>
        <v>CDS OPHTALMO BEAUGRENELLE OPHTALYS</v>
      </c>
      <c r="F1366" t="str">
        <f>"80 RUE DES ENTREPRENEURS"</f>
        <v>80 RUE DES ENTREPRENEURS</v>
      </c>
      <c r="H1366" t="str">
        <f>"75015"</f>
        <v>75015</v>
      </c>
      <c r="I1366" t="str">
        <f>"PARIS"</f>
        <v>PARIS</v>
      </c>
      <c r="L1366" s="1">
        <v>43528</v>
      </c>
      <c r="M1366" t="str">
        <f t="shared" si="232"/>
        <v>124</v>
      </c>
      <c r="N1366" t="str">
        <f t="shared" si="233"/>
        <v>Centre de Santé</v>
      </c>
      <c r="O1366" t="str">
        <f>"60"</f>
        <v>60</v>
      </c>
      <c r="P1366" t="str">
        <f>"Association Loi 1901 non Reconnue d'Utilité Publique"</f>
        <v>Association Loi 1901 non Reconnue d'Utilité Publique</v>
      </c>
      <c r="Q1366" t="str">
        <f t="shared" si="230"/>
        <v>36</v>
      </c>
      <c r="R1366" t="str">
        <f t="shared" si="231"/>
        <v>Tarifs conventionnels assurance maladie</v>
      </c>
      <c r="U1366" t="str">
        <f>"750062580"</f>
        <v>750062580</v>
      </c>
    </row>
    <row r="1367" spans="1:21" x14ac:dyDescent="0.3">
      <c r="A1367" t="str">
        <f>"940024912"</f>
        <v>940024912</v>
      </c>
      <c r="B1367" t="str">
        <f>"842 032 203 00015"</f>
        <v>842 032 203 00015</v>
      </c>
      <c r="D1367" t="str">
        <f>"CDS QARE"</f>
        <v>CDS QARE</v>
      </c>
      <c r="E1367" t="str">
        <f>"39 BIS 41"</f>
        <v>39 BIS 41</v>
      </c>
      <c r="F1367" t="str">
        <f>"39 AVENUE DE BONNEUIL"</f>
        <v>39 AVENUE DE BONNEUIL</v>
      </c>
      <c r="H1367" t="str">
        <f>"94210"</f>
        <v>94210</v>
      </c>
      <c r="I1367" t="str">
        <f>"ST MAUR DES FOSSES"</f>
        <v>ST MAUR DES FOSSES</v>
      </c>
      <c r="J1367" t="str">
        <f>"01 86 76 10 32 "</f>
        <v xml:space="preserve">01 86 76 10 32 </v>
      </c>
      <c r="L1367" s="1">
        <v>43525</v>
      </c>
      <c r="M1367" t="str">
        <f t="shared" si="232"/>
        <v>124</v>
      </c>
      <c r="N1367" t="str">
        <f t="shared" si="233"/>
        <v>Centre de Santé</v>
      </c>
      <c r="O1367" t="str">
        <f>"60"</f>
        <v>60</v>
      </c>
      <c r="P1367" t="str">
        <f>"Association Loi 1901 non Reconnue d'Utilité Publique"</f>
        <v>Association Loi 1901 non Reconnue d'Utilité Publique</v>
      </c>
      <c r="Q1367" t="str">
        <f t="shared" ref="Q1367:Q1384" si="236">"36"</f>
        <v>36</v>
      </c>
      <c r="R1367" t="str">
        <f t="shared" ref="R1367:R1384" si="237">"Tarifs conventionnels assurance maladie"</f>
        <v>Tarifs conventionnels assurance maladie</v>
      </c>
      <c r="U1367" t="str">
        <f>"750062200"</f>
        <v>750062200</v>
      </c>
    </row>
    <row r="1368" spans="1:21" x14ac:dyDescent="0.3">
      <c r="A1368" t="str">
        <f>"750063208"</f>
        <v>750063208</v>
      </c>
      <c r="B1368" t="str">
        <f>"848 002 036 00012"</f>
        <v>848 002 036 00012</v>
      </c>
      <c r="D1368" t="str">
        <f>"CDS OPHTALMOLOGIE REPUBLIQUE"</f>
        <v>CDS OPHTALMOLOGIE REPUBLIQUE</v>
      </c>
      <c r="F1368" t="str">
        <f>"49 RUE NOTRE DAME DE NAZARETH"</f>
        <v>49 RUE NOTRE DAME DE NAZARETH</v>
      </c>
      <c r="H1368" t="str">
        <f>"75003"</f>
        <v>75003</v>
      </c>
      <c r="I1368" t="str">
        <f>"PARIS"</f>
        <v>PARIS</v>
      </c>
      <c r="J1368" t="str">
        <f>"01 43 37 20 59 "</f>
        <v xml:space="preserve">01 43 37 20 59 </v>
      </c>
      <c r="L1368" s="1">
        <v>43524</v>
      </c>
      <c r="M1368" t="str">
        <f t="shared" si="232"/>
        <v>124</v>
      </c>
      <c r="N1368" t="str">
        <f t="shared" si="233"/>
        <v>Centre de Santé</v>
      </c>
      <c r="O1368" t="str">
        <f>"60"</f>
        <v>60</v>
      </c>
      <c r="P1368" t="str">
        <f>"Association Loi 1901 non Reconnue d'Utilité Publique"</f>
        <v>Association Loi 1901 non Reconnue d'Utilité Publique</v>
      </c>
      <c r="Q1368" t="str">
        <f t="shared" si="236"/>
        <v>36</v>
      </c>
      <c r="R1368" t="str">
        <f t="shared" si="237"/>
        <v>Tarifs conventionnels assurance maladie</v>
      </c>
      <c r="U1368" t="str">
        <f>"750062945"</f>
        <v>750062945</v>
      </c>
    </row>
    <row r="1369" spans="1:21" x14ac:dyDescent="0.3">
      <c r="A1369" t="str">
        <f>"750062416"</f>
        <v>750062416</v>
      </c>
      <c r="B1369" t="str">
        <f>"841 313 182 00013"</f>
        <v>841 313 182 00013</v>
      </c>
      <c r="D1369" t="str">
        <f>"CDS OPHTALMOLOGIQUE ET DENTAIRE"</f>
        <v>CDS OPHTALMOLOGIQUE ET DENTAIRE</v>
      </c>
      <c r="F1369" t="str">
        <f>"7 RUE TURBIGO"</f>
        <v>7 RUE TURBIGO</v>
      </c>
      <c r="H1369" t="str">
        <f>"75001"</f>
        <v>75001</v>
      </c>
      <c r="I1369" t="str">
        <f>"PARIS"</f>
        <v>PARIS</v>
      </c>
      <c r="J1369" t="str">
        <f>"01 83 75 52 45 "</f>
        <v xml:space="preserve">01 83 75 52 45 </v>
      </c>
      <c r="L1369" s="1">
        <v>43522</v>
      </c>
      <c r="M1369" t="str">
        <f t="shared" si="232"/>
        <v>124</v>
      </c>
      <c r="N1369" t="str">
        <f t="shared" si="233"/>
        <v>Centre de Santé</v>
      </c>
      <c r="O1369" t="str">
        <f>"60"</f>
        <v>60</v>
      </c>
      <c r="P1369" t="str">
        <f>"Association Loi 1901 non Reconnue d'Utilité Publique"</f>
        <v>Association Loi 1901 non Reconnue d'Utilité Publique</v>
      </c>
      <c r="Q1369" t="str">
        <f t="shared" si="236"/>
        <v>36</v>
      </c>
      <c r="R1369" t="str">
        <f t="shared" si="237"/>
        <v>Tarifs conventionnels assurance maladie</v>
      </c>
      <c r="U1369" t="str">
        <f>"750062382"</f>
        <v>750062382</v>
      </c>
    </row>
    <row r="1370" spans="1:21" x14ac:dyDescent="0.3">
      <c r="A1370" t="str">
        <f>"750063190"</f>
        <v>750063190</v>
      </c>
      <c r="B1370" t="str">
        <f>"775 726 706 00010"</f>
        <v>775 726 706 00010</v>
      </c>
      <c r="D1370" t="str">
        <f>"CDS MARIE THERESE PARIS 20EME"</f>
        <v>CDS MARIE THERESE PARIS 20EME</v>
      </c>
      <c r="F1370" t="str">
        <f>"1 ALLEE ALQUIER DEBROUSSE"</f>
        <v>1 ALLEE ALQUIER DEBROUSSE</v>
      </c>
      <c r="H1370" t="str">
        <f>"75020"</f>
        <v>75020</v>
      </c>
      <c r="I1370" t="str">
        <f>"PARIS"</f>
        <v>PARIS</v>
      </c>
      <c r="L1370" s="1">
        <v>43522</v>
      </c>
      <c r="M1370" t="str">
        <f t="shared" si="232"/>
        <v>124</v>
      </c>
      <c r="N1370" t="str">
        <f t="shared" si="233"/>
        <v>Centre de Santé</v>
      </c>
      <c r="O1370" t="str">
        <f>"61"</f>
        <v>61</v>
      </c>
      <c r="P1370" t="str">
        <f>"Association Loi 1901 Reconnue d'Utilité Publique"</f>
        <v>Association Loi 1901 Reconnue d'Utilité Publique</v>
      </c>
      <c r="Q1370" t="str">
        <f t="shared" si="236"/>
        <v>36</v>
      </c>
      <c r="R1370" t="str">
        <f t="shared" si="237"/>
        <v>Tarifs conventionnels assurance maladie</v>
      </c>
      <c r="U1370" t="str">
        <f>"920000445"</f>
        <v>920000445</v>
      </c>
    </row>
    <row r="1371" spans="1:21" x14ac:dyDescent="0.3">
      <c r="A1371" t="str">
        <f>"920033222"</f>
        <v>920033222</v>
      </c>
      <c r="B1371" t="str">
        <f>"831 303 292 00013"</f>
        <v>831 303 292 00013</v>
      </c>
      <c r="D1371" t="str">
        <f>"CDS ACCESS RADIOLOGIE"</f>
        <v>CDS ACCESS RADIOLOGIE</v>
      </c>
      <c r="F1371" t="str">
        <f>"38 BOULEVARD VOLTAIRE"</f>
        <v>38 BOULEVARD VOLTAIRE</v>
      </c>
      <c r="H1371" t="str">
        <f>"92600"</f>
        <v>92600</v>
      </c>
      <c r="I1371" t="str">
        <f>"ASNIERES SUR SEINE"</f>
        <v>ASNIERES SUR SEINE</v>
      </c>
      <c r="L1371" s="1">
        <v>43516</v>
      </c>
      <c r="M1371" t="str">
        <f t="shared" si="232"/>
        <v>124</v>
      </c>
      <c r="N1371" t="str">
        <f t="shared" si="233"/>
        <v>Centre de Santé</v>
      </c>
      <c r="O1371" t="str">
        <f>"60"</f>
        <v>60</v>
      </c>
      <c r="P1371" t="str">
        <f>"Association Loi 1901 non Reconnue d'Utilité Publique"</f>
        <v>Association Loi 1901 non Reconnue d'Utilité Publique</v>
      </c>
      <c r="Q1371" t="str">
        <f t="shared" si="236"/>
        <v>36</v>
      </c>
      <c r="R1371" t="str">
        <f t="shared" si="237"/>
        <v>Tarifs conventionnels assurance maladie</v>
      </c>
      <c r="U1371" t="str">
        <f>"920032190"</f>
        <v>920032190</v>
      </c>
    </row>
    <row r="1372" spans="1:21" x14ac:dyDescent="0.3">
      <c r="A1372" t="str">
        <f>"750062978"</f>
        <v>750062978</v>
      </c>
      <c r="B1372" t="str">
        <f>"843 205 899 00019"</f>
        <v>843 205 899 00019</v>
      </c>
      <c r="D1372" t="str">
        <f>"CDS D OPHTLMOLOGIE MEDICAL ST MICHEL"</f>
        <v>CDS D OPHTLMOLOGIE MEDICAL ST MICHEL</v>
      </c>
      <c r="F1372" t="str">
        <f>"123 BOULEVARD SAINT-MICHEL"</f>
        <v>123 BOULEVARD SAINT-MICHEL</v>
      </c>
      <c r="H1372" t="str">
        <f>"75005"</f>
        <v>75005</v>
      </c>
      <c r="I1372" t="str">
        <f>"PARIS"</f>
        <v>PARIS</v>
      </c>
      <c r="L1372" s="1">
        <v>43510</v>
      </c>
      <c r="M1372" t="str">
        <f t="shared" si="232"/>
        <v>124</v>
      </c>
      <c r="N1372" t="str">
        <f t="shared" si="233"/>
        <v>Centre de Santé</v>
      </c>
      <c r="O1372" t="str">
        <f>"60"</f>
        <v>60</v>
      </c>
      <c r="P1372" t="str">
        <f>"Association Loi 1901 non Reconnue d'Utilité Publique"</f>
        <v>Association Loi 1901 non Reconnue d'Utilité Publique</v>
      </c>
      <c r="Q1372" t="str">
        <f t="shared" si="236"/>
        <v>36</v>
      </c>
      <c r="R1372" t="str">
        <f t="shared" si="237"/>
        <v>Tarifs conventionnels assurance maladie</v>
      </c>
      <c r="U1372" t="str">
        <f>"750062960"</f>
        <v>750062960</v>
      </c>
    </row>
    <row r="1373" spans="1:21" x14ac:dyDescent="0.3">
      <c r="A1373" t="str">
        <f>"910023282"</f>
        <v>910023282</v>
      </c>
      <c r="B1373" t="str">
        <f>"839 105 756 00010"</f>
        <v>839 105 756 00010</v>
      </c>
      <c r="D1373" t="str">
        <f>"CDS MEDIS GRIGNY : LA SANTE POUR TOUS"</f>
        <v>CDS MEDIS GRIGNY : LA SANTE POUR TOUS</v>
      </c>
      <c r="F1373" t="str">
        <f>"5 RUE DES BATISSEURS"</f>
        <v>5 RUE DES BATISSEURS</v>
      </c>
      <c r="H1373" t="str">
        <f>"91350"</f>
        <v>91350</v>
      </c>
      <c r="I1373" t="str">
        <f>"GRIGNY"</f>
        <v>GRIGNY</v>
      </c>
      <c r="J1373" t="str">
        <f>"01 69 02 53 69 "</f>
        <v xml:space="preserve">01 69 02 53 69 </v>
      </c>
      <c r="L1373" s="1">
        <v>43509</v>
      </c>
      <c r="M1373" t="str">
        <f t="shared" si="232"/>
        <v>124</v>
      </c>
      <c r="N1373" t="str">
        <f t="shared" si="233"/>
        <v>Centre de Santé</v>
      </c>
      <c r="O1373" t="str">
        <f>"60"</f>
        <v>60</v>
      </c>
      <c r="P1373" t="str">
        <f>"Association Loi 1901 non Reconnue d'Utilité Publique"</f>
        <v>Association Loi 1901 non Reconnue d'Utilité Publique</v>
      </c>
      <c r="Q1373" t="str">
        <f t="shared" si="236"/>
        <v>36</v>
      </c>
      <c r="R1373" t="str">
        <f t="shared" si="237"/>
        <v>Tarifs conventionnels assurance maladie</v>
      </c>
      <c r="U1373" t="str">
        <f>"910023258"</f>
        <v>910023258</v>
      </c>
    </row>
    <row r="1374" spans="1:21" x14ac:dyDescent="0.3">
      <c r="A1374" t="str">
        <f>"620113381"</f>
        <v>620113381</v>
      </c>
      <c r="B1374" t="str">
        <f>"775 685 316 03904"</f>
        <v>775 685 316 03904</v>
      </c>
      <c r="D1374" t="str">
        <f>"CSP FILIERIS D'AVION"</f>
        <v>CSP FILIERIS D'AVION</v>
      </c>
      <c r="E1374" t="str">
        <f>"QUARTIER RÉPUBLIQUE"</f>
        <v>QUARTIER RÉPUBLIQUE</v>
      </c>
      <c r="F1374" t="str">
        <f>"43 RUE PAUL ELUARD"</f>
        <v>43 RUE PAUL ELUARD</v>
      </c>
      <c r="H1374" t="str">
        <f>"62210"</f>
        <v>62210</v>
      </c>
      <c r="I1374" t="str">
        <f>"AVION"</f>
        <v>AVION</v>
      </c>
      <c r="J1374" t="str">
        <f>"03 21 67 05 73 "</f>
        <v xml:space="preserve">03 21 67 05 73 </v>
      </c>
      <c r="L1374" s="1">
        <v>43507</v>
      </c>
      <c r="M1374" t="str">
        <f t="shared" si="232"/>
        <v>124</v>
      </c>
      <c r="N1374" t="str">
        <f t="shared" si="233"/>
        <v>Centre de Santé</v>
      </c>
      <c r="O1374" t="str">
        <f>"41"</f>
        <v>41</v>
      </c>
      <c r="P1374" t="str">
        <f>"Régime Spécial de Sécurité Sociale"</f>
        <v>Régime Spécial de Sécurité Sociale</v>
      </c>
      <c r="Q1374" t="str">
        <f t="shared" si="236"/>
        <v>36</v>
      </c>
      <c r="R1374" t="str">
        <f t="shared" si="237"/>
        <v>Tarifs conventionnels assurance maladie</v>
      </c>
      <c r="U1374" t="str">
        <f>"750050759"</f>
        <v>750050759</v>
      </c>
    </row>
    <row r="1375" spans="1:21" x14ac:dyDescent="0.3">
      <c r="A1375" t="str">
        <f>"860015007"</f>
        <v>860015007</v>
      </c>
      <c r="B1375" t="str">
        <f>"781 566 575 00069"</f>
        <v>781 566 575 00069</v>
      </c>
      <c r="D1375" t="str">
        <f>"CDS POLYVALENT ADMR MAUPREVOIR"</f>
        <v>CDS POLYVALENT ADMR MAUPREVOIR</v>
      </c>
      <c r="F1375" t="str">
        <f>"22 RUE DU CHARBON BLANC"</f>
        <v>22 RUE DU CHARBON BLANC</v>
      </c>
      <c r="H1375" t="str">
        <f>"86460"</f>
        <v>86460</v>
      </c>
      <c r="I1375" t="str">
        <f>"MAUPREVOIR"</f>
        <v>MAUPREVOIR</v>
      </c>
      <c r="L1375" s="1">
        <v>43507</v>
      </c>
      <c r="M1375" t="str">
        <f t="shared" si="232"/>
        <v>124</v>
      </c>
      <c r="N1375" t="str">
        <f t="shared" si="233"/>
        <v>Centre de Santé</v>
      </c>
      <c r="O1375" t="str">
        <f>"60"</f>
        <v>60</v>
      </c>
      <c r="P1375" t="str">
        <f>"Association Loi 1901 non Reconnue d'Utilité Publique"</f>
        <v>Association Loi 1901 non Reconnue d'Utilité Publique</v>
      </c>
      <c r="Q1375" t="str">
        <f t="shared" si="236"/>
        <v>36</v>
      </c>
      <c r="R1375" t="str">
        <f t="shared" si="237"/>
        <v>Tarifs conventionnels assurance maladie</v>
      </c>
      <c r="U1375" t="str">
        <f>"860785401"</f>
        <v>860785401</v>
      </c>
    </row>
    <row r="1376" spans="1:21" x14ac:dyDescent="0.3">
      <c r="A1376" t="str">
        <f>"910023274"</f>
        <v>910023274</v>
      </c>
      <c r="B1376" t="str">
        <f>"844 563 056 00010"</f>
        <v>844 563 056 00010</v>
      </c>
      <c r="D1376" t="str">
        <f>"CDS DENTAIRE DENTOSPHERE"</f>
        <v>CDS DENTAIRE DENTOSPHERE</v>
      </c>
      <c r="E1376" t="str">
        <f>"60-72"</f>
        <v>60-72</v>
      </c>
      <c r="F1376" t="str">
        <f>"60 ALLEE DES CHAMPS ELYSEES"</f>
        <v>60 ALLEE DES CHAMPS ELYSEES</v>
      </c>
      <c r="G1376" t="str">
        <f>"COURCOURONNES"</f>
        <v>COURCOURONNES</v>
      </c>
      <c r="H1376" t="str">
        <f>"91080"</f>
        <v>91080</v>
      </c>
      <c r="I1376" t="str">
        <f>"EVRY COURCOURONNES"</f>
        <v>EVRY COURCOURONNES</v>
      </c>
      <c r="L1376" s="1">
        <v>43507</v>
      </c>
      <c r="M1376" t="str">
        <f t="shared" si="232"/>
        <v>124</v>
      </c>
      <c r="N1376" t="str">
        <f t="shared" si="233"/>
        <v>Centre de Santé</v>
      </c>
      <c r="O1376" t="str">
        <f>"60"</f>
        <v>60</v>
      </c>
      <c r="P1376" t="str">
        <f>"Association Loi 1901 non Reconnue d'Utilité Publique"</f>
        <v>Association Loi 1901 non Reconnue d'Utilité Publique</v>
      </c>
      <c r="Q1376" t="str">
        <f t="shared" si="236"/>
        <v>36</v>
      </c>
      <c r="R1376" t="str">
        <f t="shared" si="237"/>
        <v>Tarifs conventionnels assurance maladie</v>
      </c>
      <c r="U1376" t="str">
        <f>"910023266"</f>
        <v>910023266</v>
      </c>
    </row>
    <row r="1377" spans="1:21" x14ac:dyDescent="0.3">
      <c r="A1377" t="str">
        <f>"750062952"</f>
        <v>750062952</v>
      </c>
      <c r="B1377" t="str">
        <f>"880 498 498 00018"</f>
        <v>880 498 498 00018</v>
      </c>
      <c r="D1377" t="str">
        <f>"CDS DENTAIRE DE LA PORTE D'AUTEUIL"</f>
        <v>CDS DENTAIRE DE LA PORTE D'AUTEUIL</v>
      </c>
      <c r="F1377" t="str">
        <f>"8 RUE CHANEZ"</f>
        <v>8 RUE CHANEZ</v>
      </c>
      <c r="H1377" t="str">
        <f>"75016"</f>
        <v>75016</v>
      </c>
      <c r="I1377" t="str">
        <f>"PARIS"</f>
        <v>PARIS</v>
      </c>
      <c r="L1377" s="1">
        <v>43503</v>
      </c>
      <c r="M1377" t="str">
        <f t="shared" si="232"/>
        <v>124</v>
      </c>
      <c r="N1377" t="str">
        <f t="shared" si="233"/>
        <v>Centre de Santé</v>
      </c>
      <c r="O1377" t="str">
        <f>"60"</f>
        <v>60</v>
      </c>
      <c r="P1377" t="str">
        <f>"Association Loi 1901 non Reconnue d'Utilité Publique"</f>
        <v>Association Loi 1901 non Reconnue d'Utilité Publique</v>
      </c>
      <c r="Q1377" t="str">
        <f t="shared" si="236"/>
        <v>36</v>
      </c>
      <c r="R1377" t="str">
        <f t="shared" si="237"/>
        <v>Tarifs conventionnels assurance maladie</v>
      </c>
      <c r="U1377" t="str">
        <f>"750066011"</f>
        <v>750066011</v>
      </c>
    </row>
    <row r="1378" spans="1:21" x14ac:dyDescent="0.3">
      <c r="A1378" t="str">
        <f>"690044664"</f>
        <v>690044664</v>
      </c>
      <c r="B1378" t="str">
        <f>"843 838 368 00010"</f>
        <v>843 838 368 00010</v>
      </c>
      <c r="D1378" t="str">
        <f>"CENTRE DE SANTE LYON 3EME / SAXE"</f>
        <v>CENTRE DE SANTE LYON 3EME / SAXE</v>
      </c>
      <c r="F1378" t="str">
        <f>"53 AVENUE DU MARECHAL DE SAXE"</f>
        <v>53 AVENUE DU MARECHAL DE SAXE</v>
      </c>
      <c r="H1378" t="str">
        <f>"69003"</f>
        <v>69003</v>
      </c>
      <c r="I1378" t="str">
        <f>"LYON"</f>
        <v>LYON</v>
      </c>
      <c r="L1378" s="1">
        <v>43500</v>
      </c>
      <c r="M1378" t="str">
        <f t="shared" si="232"/>
        <v>124</v>
      </c>
      <c r="N1378" t="str">
        <f t="shared" si="233"/>
        <v>Centre de Santé</v>
      </c>
      <c r="O1378" t="str">
        <f>"60"</f>
        <v>60</v>
      </c>
      <c r="P1378" t="str">
        <f>"Association Loi 1901 non Reconnue d'Utilité Publique"</f>
        <v>Association Loi 1901 non Reconnue d'Utilité Publique</v>
      </c>
      <c r="Q1378" t="str">
        <f t="shared" si="236"/>
        <v>36</v>
      </c>
      <c r="R1378" t="str">
        <f t="shared" si="237"/>
        <v>Tarifs conventionnels assurance maladie</v>
      </c>
      <c r="U1378" t="str">
        <f>"690044656"</f>
        <v>690044656</v>
      </c>
    </row>
    <row r="1379" spans="1:21" x14ac:dyDescent="0.3">
      <c r="A1379" t="str">
        <f>"560029613"</f>
        <v>560029613</v>
      </c>
      <c r="B1379" t="str">
        <f>"921 873 238 00015"</f>
        <v>921 873 238 00015</v>
      </c>
      <c r="D1379" t="str">
        <f>"CDS MEDICAL KERSANTE DU MONISTROL"</f>
        <v>CDS MEDICAL KERSANTE DU MONISTROL</v>
      </c>
      <c r="F1379" t="str">
        <f>"64 RUE DU MONISTROL"</f>
        <v>64 RUE DU MONISTROL</v>
      </c>
      <c r="H1379" t="str">
        <f>"56100"</f>
        <v>56100</v>
      </c>
      <c r="I1379" t="str">
        <f>"LORIENT"</f>
        <v>LORIENT</v>
      </c>
      <c r="J1379" t="str">
        <f>"02 57 41 70 26 "</f>
        <v xml:space="preserve">02 57 41 70 26 </v>
      </c>
      <c r="L1379" s="1">
        <v>43496</v>
      </c>
      <c r="M1379" t="str">
        <f t="shared" si="232"/>
        <v>124</v>
      </c>
      <c r="N1379" t="str">
        <f t="shared" si="233"/>
        <v>Centre de Santé</v>
      </c>
      <c r="O1379" t="str">
        <f>"60"</f>
        <v>60</v>
      </c>
      <c r="P1379" t="str">
        <f>"Association Loi 1901 non Reconnue d'Utilité Publique"</f>
        <v>Association Loi 1901 non Reconnue d'Utilité Publique</v>
      </c>
      <c r="Q1379" t="str">
        <f t="shared" si="236"/>
        <v>36</v>
      </c>
      <c r="R1379" t="str">
        <f t="shared" si="237"/>
        <v>Tarifs conventionnels assurance maladie</v>
      </c>
      <c r="U1379" t="str">
        <f>"560031205"</f>
        <v>560031205</v>
      </c>
    </row>
    <row r="1380" spans="1:21" x14ac:dyDescent="0.3">
      <c r="A1380" t="str">
        <f>"220024376"</f>
        <v>220024376</v>
      </c>
      <c r="D1380" t="str">
        <f>"CDS DU PAYS DE D'ARMOR ET DE L'ARGOAT"</f>
        <v>CDS DU PAYS DE D'ARMOR ET DE L'ARGOAT</v>
      </c>
      <c r="E1380" t="str">
        <f>"POLE DE SANTE DE GUINGAMP"</f>
        <v>POLE DE SANTE DE GUINGAMP</v>
      </c>
      <c r="F1380" t="str">
        <f>"17 RUE DE L'ARMOR"</f>
        <v>17 RUE DE L'ARMOR</v>
      </c>
      <c r="G1380" t="str">
        <f>"BP 10548"</f>
        <v>BP 10548</v>
      </c>
      <c r="H1380" t="str">
        <f>"22205"</f>
        <v>22205</v>
      </c>
      <c r="I1380" t="str">
        <f>"GUINGAMP CEDEX"</f>
        <v>GUINGAMP CEDEX</v>
      </c>
      <c r="L1380" s="1">
        <v>43494</v>
      </c>
      <c r="M1380" t="str">
        <f t="shared" si="232"/>
        <v>124</v>
      </c>
      <c r="N1380" t="str">
        <f t="shared" si="233"/>
        <v>Centre de Santé</v>
      </c>
      <c r="O1380" t="str">
        <f>"13"</f>
        <v>13</v>
      </c>
      <c r="P1380" t="str">
        <f>"Etablissement Public Communal d'Hospitalisation"</f>
        <v>Etablissement Public Communal d'Hospitalisation</v>
      </c>
      <c r="Q1380" t="str">
        <f t="shared" si="236"/>
        <v>36</v>
      </c>
      <c r="R1380" t="str">
        <f t="shared" si="237"/>
        <v>Tarifs conventionnels assurance maladie</v>
      </c>
      <c r="U1380" t="str">
        <f>"220000079"</f>
        <v>220000079</v>
      </c>
    </row>
    <row r="1381" spans="1:21" x14ac:dyDescent="0.3">
      <c r="A1381" t="str">
        <f>"750062937"</f>
        <v>750062937</v>
      </c>
      <c r="B1381" t="str">
        <f>"844 502 740 00013"</f>
        <v>844 502 740 00013</v>
      </c>
      <c r="D1381" t="str">
        <f>"CDS DENTAIRE LISZT LA FAYETTE"</f>
        <v>CDS DENTAIRE LISZT LA FAYETTE</v>
      </c>
      <c r="F1381" t="str">
        <f>"108 RUE LA FAYETTE"</f>
        <v>108 RUE LA FAYETTE</v>
      </c>
      <c r="H1381" t="str">
        <f>"75010"</f>
        <v>75010</v>
      </c>
      <c r="I1381" t="str">
        <f>"PARIS"</f>
        <v>PARIS</v>
      </c>
      <c r="L1381" s="1">
        <v>43493</v>
      </c>
      <c r="M1381" t="str">
        <f t="shared" si="232"/>
        <v>124</v>
      </c>
      <c r="N1381" t="str">
        <f t="shared" si="233"/>
        <v>Centre de Santé</v>
      </c>
      <c r="O1381" t="str">
        <f>"60"</f>
        <v>60</v>
      </c>
      <c r="P1381" t="str">
        <f>"Association Loi 1901 non Reconnue d'Utilité Publique"</f>
        <v>Association Loi 1901 non Reconnue d'Utilité Publique</v>
      </c>
      <c r="Q1381" t="str">
        <f t="shared" si="236"/>
        <v>36</v>
      </c>
      <c r="R1381" t="str">
        <f t="shared" si="237"/>
        <v>Tarifs conventionnels assurance maladie</v>
      </c>
      <c r="U1381" t="str">
        <f>"750062903"</f>
        <v>750062903</v>
      </c>
    </row>
    <row r="1382" spans="1:21" x14ac:dyDescent="0.3">
      <c r="A1382" t="str">
        <f>"780025425"</f>
        <v>780025425</v>
      </c>
      <c r="B1382" t="str">
        <f>"843 498 817 00017"</f>
        <v>843 498 817 00017</v>
      </c>
      <c r="D1382" t="str">
        <f>"CDS DENTAIRE POISSY"</f>
        <v>CDS DENTAIRE POISSY</v>
      </c>
      <c r="F1382" t="str">
        <f>"6 PLACE DE LA REPUBLIQUE"</f>
        <v>6 PLACE DE LA REPUBLIQUE</v>
      </c>
      <c r="H1382" t="str">
        <f>"78300"</f>
        <v>78300</v>
      </c>
      <c r="I1382" t="str">
        <f>"POISSY"</f>
        <v>POISSY</v>
      </c>
      <c r="L1382" s="1">
        <v>43490</v>
      </c>
      <c r="M1382" t="str">
        <f t="shared" si="232"/>
        <v>124</v>
      </c>
      <c r="N1382" t="str">
        <f t="shared" si="233"/>
        <v>Centre de Santé</v>
      </c>
      <c r="O1382" t="str">
        <f>"60"</f>
        <v>60</v>
      </c>
      <c r="P1382" t="str">
        <f>"Association Loi 1901 non Reconnue d'Utilité Publique"</f>
        <v>Association Loi 1901 non Reconnue d'Utilité Publique</v>
      </c>
      <c r="Q1382" t="str">
        <f t="shared" si="236"/>
        <v>36</v>
      </c>
      <c r="R1382" t="str">
        <f t="shared" si="237"/>
        <v>Tarifs conventionnels assurance maladie</v>
      </c>
      <c r="U1382" t="str">
        <f>"780025417"</f>
        <v>780025417</v>
      </c>
    </row>
    <row r="1383" spans="1:21" x14ac:dyDescent="0.3">
      <c r="A1383" t="str">
        <f>"710015942"</f>
        <v>710015942</v>
      </c>
      <c r="B1383" t="str">
        <f>"227 100 013 00738"</f>
        <v>227 100 013 00738</v>
      </c>
      <c r="D1383" t="str">
        <f>"CENTRE DE SANTE TERRITORIAL MACON"</f>
        <v>CENTRE DE SANTE TERRITORIAL MACON</v>
      </c>
      <c r="F1383" t="str">
        <f>"23 RUE MATHIEU"</f>
        <v>23 RUE MATHIEU</v>
      </c>
      <c r="H1383" t="str">
        <f>"71000"</f>
        <v>71000</v>
      </c>
      <c r="I1383" t="str">
        <f>"MACON"</f>
        <v>MACON</v>
      </c>
      <c r="L1383" s="1">
        <v>43487</v>
      </c>
      <c r="M1383" t="str">
        <f t="shared" si="232"/>
        <v>124</v>
      </c>
      <c r="N1383" t="str">
        <f t="shared" si="233"/>
        <v>Centre de Santé</v>
      </c>
      <c r="O1383" t="str">
        <f>"02"</f>
        <v>02</v>
      </c>
      <c r="P1383" t="str">
        <f>"Département"</f>
        <v>Département</v>
      </c>
      <c r="Q1383" t="str">
        <f t="shared" si="236"/>
        <v>36</v>
      </c>
      <c r="R1383" t="str">
        <f t="shared" si="237"/>
        <v>Tarifs conventionnels assurance maladie</v>
      </c>
      <c r="U1383" t="str">
        <f>"710015694"</f>
        <v>710015694</v>
      </c>
    </row>
    <row r="1384" spans="1:21" x14ac:dyDescent="0.3">
      <c r="A1384" t="str">
        <f>"210013272"</f>
        <v>210013272</v>
      </c>
      <c r="B1384" t="str">
        <f>"843 227 810 00010"</f>
        <v>843 227 810 00010</v>
      </c>
      <c r="D1384" t="str">
        <f>"CENTRE DE SANTE DENTAIRE DIJON"</f>
        <v>CENTRE DE SANTE DENTAIRE DIJON</v>
      </c>
      <c r="F1384" t="str">
        <f>"15 BOULEVARD DE BROSSES"</f>
        <v>15 BOULEVARD DE BROSSES</v>
      </c>
      <c r="H1384" t="str">
        <f>"21000"</f>
        <v>21000</v>
      </c>
      <c r="I1384" t="str">
        <f>"DIJON"</f>
        <v>DIJON</v>
      </c>
      <c r="L1384" s="1">
        <v>43486</v>
      </c>
      <c r="M1384" t="str">
        <f t="shared" si="232"/>
        <v>124</v>
      </c>
      <c r="N1384" t="str">
        <f t="shared" si="233"/>
        <v>Centre de Santé</v>
      </c>
      <c r="O1384" t="str">
        <f>"60"</f>
        <v>60</v>
      </c>
      <c r="P1384" t="str">
        <f>"Association Loi 1901 non Reconnue d'Utilité Publique"</f>
        <v>Association Loi 1901 non Reconnue d'Utilité Publique</v>
      </c>
      <c r="Q1384" t="str">
        <f t="shared" si="236"/>
        <v>36</v>
      </c>
      <c r="R1384" t="str">
        <f t="shared" si="237"/>
        <v>Tarifs conventionnels assurance maladie</v>
      </c>
      <c r="U1384" t="str">
        <f>"210013264"</f>
        <v>210013264</v>
      </c>
    </row>
    <row r="1385" spans="1:21" x14ac:dyDescent="0.3">
      <c r="A1385" t="str">
        <f>"280007907"</f>
        <v>280007907</v>
      </c>
      <c r="B1385" t="str">
        <f>"842 797 581 00019"</f>
        <v>842 797 581 00019</v>
      </c>
      <c r="D1385" t="str">
        <f>"CENTRE DE SANTE DENTAIRE CHARTRES"</f>
        <v>CENTRE DE SANTE DENTAIRE CHARTRES</v>
      </c>
      <c r="F1385" t="str">
        <f>"40 BOULEVARD CHASLES"</f>
        <v>40 BOULEVARD CHASLES</v>
      </c>
      <c r="H1385" t="str">
        <f>"28000"</f>
        <v>28000</v>
      </c>
      <c r="I1385" t="str">
        <f>"CHARTRES"</f>
        <v>CHARTRES</v>
      </c>
      <c r="L1385" s="1">
        <v>43486</v>
      </c>
      <c r="M1385" t="str">
        <f t="shared" si="232"/>
        <v>124</v>
      </c>
      <c r="N1385" t="str">
        <f t="shared" si="233"/>
        <v>Centre de Santé</v>
      </c>
      <c r="O1385" t="str">
        <f>"61"</f>
        <v>61</v>
      </c>
      <c r="P1385" t="str">
        <f>"Association Loi 1901 Reconnue d'Utilité Publique"</f>
        <v>Association Loi 1901 Reconnue d'Utilité Publique</v>
      </c>
      <c r="Q1385" t="str">
        <f>"99"</f>
        <v>99</v>
      </c>
      <c r="R1385" t="str">
        <f>"Indéterminé"</f>
        <v>Indéterminé</v>
      </c>
      <c r="U1385" t="str">
        <f>"280007899"</f>
        <v>280007899</v>
      </c>
    </row>
    <row r="1386" spans="1:21" x14ac:dyDescent="0.3">
      <c r="A1386" t="str">
        <f>"310031075"</f>
        <v>310031075</v>
      </c>
      <c r="B1386" t="str">
        <f>"841 578 438 00027"</f>
        <v>841 578 438 00027</v>
      </c>
      <c r="D1386" t="str">
        <f>"CDS POLYVALENT MUTUALISTE CAP'REMPART"</f>
        <v>CDS POLYVALENT MUTUALISTE CAP'REMPART</v>
      </c>
      <c r="F1386" t="str">
        <f>"16 PLACE WILSON"</f>
        <v>16 PLACE WILSON</v>
      </c>
      <c r="H1386" t="str">
        <f>"31072"</f>
        <v>31072</v>
      </c>
      <c r="I1386" t="str">
        <f>"TOULOUSE CEDEX 7"</f>
        <v>TOULOUSE CEDEX 7</v>
      </c>
      <c r="J1386" t="str">
        <f>"08 00 51 29 99 "</f>
        <v xml:space="preserve">08 00 51 29 99 </v>
      </c>
      <c r="L1386" s="1">
        <v>43486</v>
      </c>
      <c r="M1386" t="str">
        <f t="shared" si="232"/>
        <v>124</v>
      </c>
      <c r="N1386" t="str">
        <f t="shared" si="233"/>
        <v>Centre de Santé</v>
      </c>
      <c r="O1386" t="str">
        <f>"47"</f>
        <v>47</v>
      </c>
      <c r="P1386" t="str">
        <f>"Société Mutualiste"</f>
        <v>Société Mutualiste</v>
      </c>
      <c r="Q1386" t="str">
        <f t="shared" ref="Q1386:Q1407" si="238">"36"</f>
        <v>36</v>
      </c>
      <c r="R1386" t="str">
        <f t="shared" ref="R1386:R1407" si="239">"Tarifs conventionnels assurance maladie"</f>
        <v>Tarifs conventionnels assurance maladie</v>
      </c>
      <c r="U1386" t="str">
        <f>"310031067"</f>
        <v>310031067</v>
      </c>
    </row>
    <row r="1387" spans="1:21" x14ac:dyDescent="0.3">
      <c r="A1387" t="str">
        <f>"690044698"</f>
        <v>690044698</v>
      </c>
      <c r="B1387" t="str">
        <f>"840 883 979 00014"</f>
        <v>840 883 979 00014</v>
      </c>
      <c r="D1387" t="str">
        <f>"CENTRE DE SANTE DES TERREAUX"</f>
        <v>CENTRE DE SANTE DES TERREAUX</v>
      </c>
      <c r="F1387" t="str">
        <f>"1 PLACE DES TERREAUX"</f>
        <v>1 PLACE DES TERREAUX</v>
      </c>
      <c r="H1387" t="str">
        <f>"69001"</f>
        <v>69001</v>
      </c>
      <c r="I1387" t="str">
        <f>"LYON"</f>
        <v>LYON</v>
      </c>
      <c r="J1387" t="str">
        <f>"04 81 09 18 65 "</f>
        <v xml:space="preserve">04 81 09 18 65 </v>
      </c>
      <c r="L1387" s="1">
        <v>43480</v>
      </c>
      <c r="M1387" t="str">
        <f t="shared" si="232"/>
        <v>124</v>
      </c>
      <c r="N1387" t="str">
        <f t="shared" si="233"/>
        <v>Centre de Santé</v>
      </c>
      <c r="O1387" t="str">
        <f>"60"</f>
        <v>60</v>
      </c>
      <c r="P1387" t="str">
        <f>"Association Loi 1901 non Reconnue d'Utilité Publique"</f>
        <v>Association Loi 1901 non Reconnue d'Utilité Publique</v>
      </c>
      <c r="Q1387" t="str">
        <f t="shared" si="238"/>
        <v>36</v>
      </c>
      <c r="R1387" t="str">
        <f t="shared" si="239"/>
        <v>Tarifs conventionnels assurance maladie</v>
      </c>
      <c r="U1387" t="str">
        <f>"690044680"</f>
        <v>690044680</v>
      </c>
    </row>
    <row r="1388" spans="1:21" x14ac:dyDescent="0.3">
      <c r="A1388" t="str">
        <f>"130048002"</f>
        <v>130048002</v>
      </c>
      <c r="B1388" t="str">
        <f>"191 301 894 00017"</f>
        <v>191 301 894 00017</v>
      </c>
      <c r="D1388" t="str">
        <f>"CDS POLYVALENT  DU CREPS PACA"</f>
        <v>CDS POLYVALENT  DU CREPS PACA</v>
      </c>
      <c r="E1388" t="str">
        <f>"CS 70445"</f>
        <v>CS 70445</v>
      </c>
      <c r="F1388" t="str">
        <f>"62 CHEMIN DU VIADUC PONT DE L'ARC"</f>
        <v>62 CHEMIN DU VIADUC PONT DE L'ARC</v>
      </c>
      <c r="H1388" t="str">
        <f>"13098"</f>
        <v>13098</v>
      </c>
      <c r="I1388" t="str">
        <f>"AIX EN PROVENCE CEDEX 2"</f>
        <v>AIX EN PROVENCE CEDEX 2</v>
      </c>
      <c r="J1388" t="str">
        <f>"04 42 93 80 13 "</f>
        <v xml:space="preserve">04 42 93 80 13 </v>
      </c>
      <c r="L1388" s="1">
        <v>43479</v>
      </c>
      <c r="M1388" t="str">
        <f t="shared" si="232"/>
        <v>124</v>
      </c>
      <c r="N1388" t="str">
        <f t="shared" si="233"/>
        <v>Centre de Santé</v>
      </c>
      <c r="O1388" t="str">
        <f>"26"</f>
        <v>26</v>
      </c>
      <c r="P1388" t="str">
        <f>"Autre Etablissement Public à Caractère Administratif"</f>
        <v>Autre Etablissement Public à Caractère Administratif</v>
      </c>
      <c r="Q1388" t="str">
        <f t="shared" si="238"/>
        <v>36</v>
      </c>
      <c r="R1388" t="str">
        <f t="shared" si="239"/>
        <v>Tarifs conventionnels assurance maladie</v>
      </c>
      <c r="U1388" t="str">
        <f>"130043037"</f>
        <v>130043037</v>
      </c>
    </row>
    <row r="1389" spans="1:21" x14ac:dyDescent="0.3">
      <c r="A1389" t="str">
        <f>"620113944"</f>
        <v>620113944</v>
      </c>
      <c r="B1389" t="str">
        <f>"775 685 316 02351"</f>
        <v>775 685 316 02351</v>
      </c>
      <c r="D1389" t="str">
        <f>"CSP FILIERIS DE LAPUGNOY"</f>
        <v>CSP FILIERIS DE LAPUGNOY</v>
      </c>
      <c r="F1389" t="str">
        <f>"233 RUE JEAN JAURÈS"</f>
        <v>233 RUE JEAN JAURÈS</v>
      </c>
      <c r="H1389" t="str">
        <f>"62122"</f>
        <v>62122</v>
      </c>
      <c r="I1389" t="str">
        <f>"LAPUGNOY"</f>
        <v>LAPUGNOY</v>
      </c>
      <c r="J1389" t="str">
        <f>"03 74 85 57 71 "</f>
        <v xml:space="preserve">03 74 85 57 71 </v>
      </c>
      <c r="L1389" s="1">
        <v>43479</v>
      </c>
      <c r="M1389" t="str">
        <f t="shared" si="232"/>
        <v>124</v>
      </c>
      <c r="N1389" t="str">
        <f t="shared" si="233"/>
        <v>Centre de Santé</v>
      </c>
      <c r="O1389" t="str">
        <f>"41"</f>
        <v>41</v>
      </c>
      <c r="P1389" t="str">
        <f>"Régime Spécial de Sécurité Sociale"</f>
        <v>Régime Spécial de Sécurité Sociale</v>
      </c>
      <c r="Q1389" t="str">
        <f t="shared" si="238"/>
        <v>36</v>
      </c>
      <c r="R1389" t="str">
        <f t="shared" si="239"/>
        <v>Tarifs conventionnels assurance maladie</v>
      </c>
      <c r="U1389" t="str">
        <f>"750050759"</f>
        <v>750050759</v>
      </c>
    </row>
    <row r="1390" spans="1:21" x14ac:dyDescent="0.3">
      <c r="A1390" t="str">
        <f>"640019493"</f>
        <v>640019493</v>
      </c>
      <c r="B1390" t="str">
        <f>"321 485 542 00393"</f>
        <v>321 485 542 00393</v>
      </c>
      <c r="D1390" t="str">
        <f>"CDS DENTAIRE MUTUALISTE"</f>
        <v>CDS DENTAIRE MUTUALISTE</v>
      </c>
      <c r="F1390" t="str">
        <f>"12 ALLEE DES MARRONNIERS"</f>
        <v>12 ALLEE DES MARRONNIERS</v>
      </c>
      <c r="H1390" t="str">
        <f>"64250"</f>
        <v>64250</v>
      </c>
      <c r="I1390" t="str">
        <f>"CAMBO LES BAINS"</f>
        <v>CAMBO LES BAINS</v>
      </c>
      <c r="J1390" t="str">
        <f>"05 54 03 02 03 "</f>
        <v xml:space="preserve">05 54 03 02 03 </v>
      </c>
      <c r="K1390" t="str">
        <f>"05 54 03 02 34"</f>
        <v>05 54 03 02 34</v>
      </c>
      <c r="L1390" s="1">
        <v>43479</v>
      </c>
      <c r="M1390" t="str">
        <f t="shared" si="232"/>
        <v>124</v>
      </c>
      <c r="N1390" t="str">
        <f t="shared" si="233"/>
        <v>Centre de Santé</v>
      </c>
      <c r="O1390" t="str">
        <f>"47"</f>
        <v>47</v>
      </c>
      <c r="P1390" t="str">
        <f>"Société Mutualiste"</f>
        <v>Société Mutualiste</v>
      </c>
      <c r="Q1390" t="str">
        <f t="shared" si="238"/>
        <v>36</v>
      </c>
      <c r="R1390" t="str">
        <f t="shared" si="239"/>
        <v>Tarifs conventionnels assurance maladie</v>
      </c>
      <c r="U1390" t="str">
        <f>"640795555"</f>
        <v>640795555</v>
      </c>
    </row>
    <row r="1391" spans="1:21" x14ac:dyDescent="0.3">
      <c r="A1391" t="str">
        <f>"590060414"</f>
        <v>590060414</v>
      </c>
      <c r="D1391" t="str">
        <f>"CSD ROUBAIX"</f>
        <v>CSD ROUBAIX</v>
      </c>
      <c r="F1391" t="str">
        <f>"67 GRAND RUE"</f>
        <v>67 GRAND RUE</v>
      </c>
      <c r="H1391" t="str">
        <f>"59100"</f>
        <v>59100</v>
      </c>
      <c r="I1391" t="str">
        <f>"ROUBAIX"</f>
        <v>ROUBAIX</v>
      </c>
      <c r="L1391" s="1">
        <v>43466</v>
      </c>
      <c r="M1391" t="str">
        <f t="shared" si="232"/>
        <v>124</v>
      </c>
      <c r="N1391" t="str">
        <f t="shared" si="233"/>
        <v>Centre de Santé</v>
      </c>
      <c r="O1391" t="str">
        <f>"60"</f>
        <v>60</v>
      </c>
      <c r="P1391" t="str">
        <f>"Association Loi 1901 non Reconnue d'Utilité Publique"</f>
        <v>Association Loi 1901 non Reconnue d'Utilité Publique</v>
      </c>
      <c r="Q1391" t="str">
        <f t="shared" si="238"/>
        <v>36</v>
      </c>
      <c r="R1391" t="str">
        <f t="shared" si="239"/>
        <v>Tarifs conventionnels assurance maladie</v>
      </c>
      <c r="U1391" t="str">
        <f>"750057440"</f>
        <v>750057440</v>
      </c>
    </row>
    <row r="1392" spans="1:21" x14ac:dyDescent="0.3">
      <c r="A1392" t="str">
        <f>"750062135"</f>
        <v>750062135</v>
      </c>
      <c r="D1392" t="str">
        <f>"CDS DENTAIRE ST MICHEL LUXEMBOURG"</f>
        <v>CDS DENTAIRE ST MICHEL LUXEMBOURG</v>
      </c>
      <c r="F1392" t="str">
        <f>"105 PLACE LOUIS MARIN"</f>
        <v>105 PLACE LOUIS MARIN</v>
      </c>
      <c r="H1392" t="str">
        <f>"75005"</f>
        <v>75005</v>
      </c>
      <c r="I1392" t="str">
        <f>"PARIS"</f>
        <v>PARIS</v>
      </c>
      <c r="L1392" s="1">
        <v>43466</v>
      </c>
      <c r="M1392" t="str">
        <f t="shared" si="232"/>
        <v>124</v>
      </c>
      <c r="N1392" t="str">
        <f t="shared" si="233"/>
        <v>Centre de Santé</v>
      </c>
      <c r="O1392" t="str">
        <f>"60"</f>
        <v>60</v>
      </c>
      <c r="P1392" t="str">
        <f>"Association Loi 1901 non Reconnue d'Utilité Publique"</f>
        <v>Association Loi 1901 non Reconnue d'Utilité Publique</v>
      </c>
      <c r="Q1392" t="str">
        <f t="shared" si="238"/>
        <v>36</v>
      </c>
      <c r="R1392" t="str">
        <f t="shared" si="239"/>
        <v>Tarifs conventionnels assurance maladie</v>
      </c>
      <c r="U1392" t="str">
        <f>"750062127"</f>
        <v>750062127</v>
      </c>
    </row>
    <row r="1393" spans="1:21" x14ac:dyDescent="0.3">
      <c r="A1393" t="str">
        <f>"750062614"</f>
        <v>750062614</v>
      </c>
      <c r="B1393" t="str">
        <f>"843 202 987 00015"</f>
        <v>843 202 987 00015</v>
      </c>
      <c r="D1393" t="str">
        <f>"CDS DENTAIRE ROME"</f>
        <v>CDS DENTAIRE ROME</v>
      </c>
      <c r="F1393" t="str">
        <f>"23 RUE DE ROME"</f>
        <v>23 RUE DE ROME</v>
      </c>
      <c r="H1393" t="str">
        <f>"75008"</f>
        <v>75008</v>
      </c>
      <c r="I1393" t="str">
        <f>"PARIS"</f>
        <v>PARIS</v>
      </c>
      <c r="L1393" s="1">
        <v>43466</v>
      </c>
      <c r="M1393" t="str">
        <f t="shared" si="232"/>
        <v>124</v>
      </c>
      <c r="N1393" t="str">
        <f t="shared" si="233"/>
        <v>Centre de Santé</v>
      </c>
      <c r="O1393" t="str">
        <f>"60"</f>
        <v>60</v>
      </c>
      <c r="P1393" t="str">
        <f>"Association Loi 1901 non Reconnue d'Utilité Publique"</f>
        <v>Association Loi 1901 non Reconnue d'Utilité Publique</v>
      </c>
      <c r="Q1393" t="str">
        <f t="shared" si="238"/>
        <v>36</v>
      </c>
      <c r="R1393" t="str">
        <f t="shared" si="239"/>
        <v>Tarifs conventionnels assurance maladie</v>
      </c>
      <c r="U1393" t="str">
        <f>"750062598"</f>
        <v>750062598</v>
      </c>
    </row>
    <row r="1394" spans="1:21" x14ac:dyDescent="0.3">
      <c r="A1394" t="str">
        <f>"760037671"</f>
        <v>760037671</v>
      </c>
      <c r="B1394" t="str">
        <f>"839 802 204 00025"</f>
        <v>839 802 204 00025</v>
      </c>
      <c r="D1394" t="str">
        <f>"CENTRE DE SANTÉ DENTAIRE"</f>
        <v>CENTRE DE SANTÉ DENTAIRE</v>
      </c>
      <c r="F1394" t="str">
        <f>"3 RUE DU GÉNÉRAL LECLERC"</f>
        <v>3 RUE DU GÉNÉRAL LECLERC</v>
      </c>
      <c r="H1394" t="str">
        <f>"76000"</f>
        <v>76000</v>
      </c>
      <c r="I1394" t="str">
        <f>"ROUEN"</f>
        <v>ROUEN</v>
      </c>
      <c r="J1394" t="str">
        <f>"07 85 50 53 44 "</f>
        <v xml:space="preserve">07 85 50 53 44 </v>
      </c>
      <c r="L1394" s="1">
        <v>43466</v>
      </c>
      <c r="M1394" t="str">
        <f t="shared" si="232"/>
        <v>124</v>
      </c>
      <c r="N1394" t="str">
        <f t="shared" si="233"/>
        <v>Centre de Santé</v>
      </c>
      <c r="O1394" t="str">
        <f>"60"</f>
        <v>60</v>
      </c>
      <c r="P1394" t="str">
        <f>"Association Loi 1901 non Reconnue d'Utilité Publique"</f>
        <v>Association Loi 1901 non Reconnue d'Utilité Publique</v>
      </c>
      <c r="Q1394" t="str">
        <f t="shared" si="238"/>
        <v>36</v>
      </c>
      <c r="R1394" t="str">
        <f t="shared" si="239"/>
        <v>Tarifs conventionnels assurance maladie</v>
      </c>
      <c r="U1394" t="str">
        <f>"760038943"</f>
        <v>760038943</v>
      </c>
    </row>
    <row r="1395" spans="1:21" x14ac:dyDescent="0.3">
      <c r="A1395" t="str">
        <f>"690042841"</f>
        <v>690042841</v>
      </c>
      <c r="B1395" t="str">
        <f>"348 384 330 00034"</f>
        <v>348 384 330 00034</v>
      </c>
      <c r="D1395" t="str">
        <f>"CENTRE SANTE OBSTETRICAL EST LYONNAIS"</f>
        <v>CENTRE SANTE OBSTETRICAL EST LYONNAIS</v>
      </c>
      <c r="F1395" t="str">
        <f>"31 RUE HENRI MARECHAL"</f>
        <v>31 RUE HENRI MARECHAL</v>
      </c>
      <c r="H1395" t="str">
        <f>"69800"</f>
        <v>69800</v>
      </c>
      <c r="I1395" t="str">
        <f>"ST PRIEST"</f>
        <v>ST PRIEST</v>
      </c>
      <c r="L1395" s="1">
        <v>43465</v>
      </c>
      <c r="M1395" t="str">
        <f t="shared" si="232"/>
        <v>124</v>
      </c>
      <c r="N1395" t="str">
        <f t="shared" si="233"/>
        <v>Centre de Santé</v>
      </c>
      <c r="O1395" t="str">
        <f>"95"</f>
        <v>95</v>
      </c>
      <c r="P1395" t="str">
        <f>"Société par Actions Simplifiée (S.A.S.)"</f>
        <v>Société par Actions Simplifiée (S.A.S.)</v>
      </c>
      <c r="Q1395" t="str">
        <f t="shared" si="238"/>
        <v>36</v>
      </c>
      <c r="R1395" t="str">
        <f t="shared" si="239"/>
        <v>Tarifs conventionnels assurance maladie</v>
      </c>
      <c r="U1395" t="str">
        <f>"690000732"</f>
        <v>690000732</v>
      </c>
    </row>
    <row r="1396" spans="1:21" x14ac:dyDescent="0.3">
      <c r="A1396" t="str">
        <f>"910023225"</f>
        <v>910023225</v>
      </c>
      <c r="D1396" t="str">
        <f>"CDS DENTAIRE DE GRIGNY"</f>
        <v>CDS DENTAIRE DE GRIGNY</v>
      </c>
      <c r="E1396" t="str">
        <f>"2-6"</f>
        <v>2-6</v>
      </c>
      <c r="F1396" t="str">
        <f>"2 RUE DE LA LIBERTE"</f>
        <v>2 RUE DE LA LIBERTE</v>
      </c>
      <c r="H1396" t="str">
        <f>"91350"</f>
        <v>91350</v>
      </c>
      <c r="I1396" t="str">
        <f>"GRIGNY"</f>
        <v>GRIGNY</v>
      </c>
      <c r="L1396" s="1">
        <v>43462</v>
      </c>
      <c r="M1396" t="str">
        <f t="shared" si="232"/>
        <v>124</v>
      </c>
      <c r="N1396" t="str">
        <f t="shared" si="233"/>
        <v>Centre de Santé</v>
      </c>
      <c r="O1396" t="str">
        <f>"60"</f>
        <v>60</v>
      </c>
      <c r="P1396" t="str">
        <f>"Association Loi 1901 non Reconnue d'Utilité Publique"</f>
        <v>Association Loi 1901 non Reconnue d'Utilité Publique</v>
      </c>
      <c r="Q1396" t="str">
        <f t="shared" si="238"/>
        <v>36</v>
      </c>
      <c r="R1396" t="str">
        <f t="shared" si="239"/>
        <v>Tarifs conventionnels assurance maladie</v>
      </c>
      <c r="U1396" t="str">
        <f>"910023217"</f>
        <v>910023217</v>
      </c>
    </row>
    <row r="1397" spans="1:21" x14ac:dyDescent="0.3">
      <c r="A1397" t="str">
        <f>"910023233"</f>
        <v>910023233</v>
      </c>
      <c r="B1397" t="str">
        <f>"843 701 996 00012"</f>
        <v>843 701 996 00012</v>
      </c>
      <c r="D1397" t="str">
        <f>"CDS DENTAIRE DU VAL D'YERRES"</f>
        <v>CDS DENTAIRE DU VAL D'YERRES</v>
      </c>
      <c r="F1397" t="str">
        <f>"16 RUE DES 2 COMMUNES"</f>
        <v>16 RUE DES 2 COMMUNES</v>
      </c>
      <c r="H1397" t="str">
        <f>"91480"</f>
        <v>91480</v>
      </c>
      <c r="I1397" t="str">
        <f>"QUINCY SOUS SENART"</f>
        <v>QUINCY SOUS SENART</v>
      </c>
      <c r="L1397" s="1">
        <v>43462</v>
      </c>
      <c r="M1397" t="str">
        <f t="shared" si="232"/>
        <v>124</v>
      </c>
      <c r="N1397" t="str">
        <f t="shared" si="233"/>
        <v>Centre de Santé</v>
      </c>
      <c r="O1397" t="str">
        <f>"60"</f>
        <v>60</v>
      </c>
      <c r="P1397" t="str">
        <f>"Association Loi 1901 non Reconnue d'Utilité Publique"</f>
        <v>Association Loi 1901 non Reconnue d'Utilité Publique</v>
      </c>
      <c r="Q1397" t="str">
        <f t="shared" si="238"/>
        <v>36</v>
      </c>
      <c r="R1397" t="str">
        <f t="shared" si="239"/>
        <v>Tarifs conventionnels assurance maladie</v>
      </c>
      <c r="U1397" t="str">
        <f>"910023209"</f>
        <v>910023209</v>
      </c>
    </row>
    <row r="1398" spans="1:21" x14ac:dyDescent="0.3">
      <c r="A1398" t="str">
        <f>"920033123"</f>
        <v>920033123</v>
      </c>
      <c r="B1398" t="str">
        <f>"843 194 838 00010"</f>
        <v>843 194 838 00010</v>
      </c>
      <c r="D1398" t="str">
        <f>"CDS DENTAIRE CLAMART"</f>
        <v>CDS DENTAIRE CLAMART</v>
      </c>
      <c r="F1398" t="str">
        <f>"3 RUE DE BRETAGNE"</f>
        <v>3 RUE DE BRETAGNE</v>
      </c>
      <c r="H1398" t="str">
        <f>"92140"</f>
        <v>92140</v>
      </c>
      <c r="I1398" t="str">
        <f>"CLAMART"</f>
        <v>CLAMART</v>
      </c>
      <c r="L1398" s="1">
        <v>43462</v>
      </c>
      <c r="M1398" t="str">
        <f t="shared" si="232"/>
        <v>124</v>
      </c>
      <c r="N1398" t="str">
        <f t="shared" si="233"/>
        <v>Centre de Santé</v>
      </c>
      <c r="O1398" t="str">
        <f>"60"</f>
        <v>60</v>
      </c>
      <c r="P1398" t="str">
        <f>"Association Loi 1901 non Reconnue d'Utilité Publique"</f>
        <v>Association Loi 1901 non Reconnue d'Utilité Publique</v>
      </c>
      <c r="Q1398" t="str">
        <f t="shared" si="238"/>
        <v>36</v>
      </c>
      <c r="R1398" t="str">
        <f t="shared" si="239"/>
        <v>Tarifs conventionnels assurance maladie</v>
      </c>
      <c r="U1398" t="str">
        <f>"920033115"</f>
        <v>920033115</v>
      </c>
    </row>
    <row r="1399" spans="1:21" x14ac:dyDescent="0.3">
      <c r="A1399" t="str">
        <f>"060026218"</f>
        <v>060026218</v>
      </c>
      <c r="D1399" t="str">
        <f>"CDS DENTAIRE  DU CAP (DENTILYS)"</f>
        <v>CDS DENTAIRE  DU CAP (DENTILYS)</v>
      </c>
      <c r="F1399" t="str">
        <f>"182 AVENUE EUGENE DONADEI"</f>
        <v>182 AVENUE EUGENE DONADEI</v>
      </c>
      <c r="H1399" t="str">
        <f>"06700"</f>
        <v>06700</v>
      </c>
      <c r="I1399" t="str">
        <f>"ST LAURENT DU VAR"</f>
        <v>ST LAURENT DU VAR</v>
      </c>
      <c r="J1399" t="str">
        <f>"06 34 66 22 07 "</f>
        <v xml:space="preserve">06 34 66 22 07 </v>
      </c>
      <c r="L1399" s="1">
        <v>43454</v>
      </c>
      <c r="M1399" t="str">
        <f t="shared" si="232"/>
        <v>124</v>
      </c>
      <c r="N1399" t="str">
        <f t="shared" si="233"/>
        <v>Centre de Santé</v>
      </c>
      <c r="O1399" t="str">
        <f>"60"</f>
        <v>60</v>
      </c>
      <c r="P1399" t="str">
        <f>"Association Loi 1901 non Reconnue d'Utilité Publique"</f>
        <v>Association Loi 1901 non Reconnue d'Utilité Publique</v>
      </c>
      <c r="Q1399" t="str">
        <f t="shared" si="238"/>
        <v>36</v>
      </c>
      <c r="R1399" t="str">
        <f t="shared" si="239"/>
        <v>Tarifs conventionnels assurance maladie</v>
      </c>
      <c r="U1399" t="str">
        <f>"060026200"</f>
        <v>060026200</v>
      </c>
    </row>
    <row r="1400" spans="1:21" x14ac:dyDescent="0.3">
      <c r="A1400" t="str">
        <f>"750062879"</f>
        <v>750062879</v>
      </c>
      <c r="B1400" t="str">
        <f>"830 073 276 00156"</f>
        <v>830 073 276 00156</v>
      </c>
      <c r="D1400" t="str">
        <f>"CDS DENTAIRE BAUDELAIRE"</f>
        <v>CDS DENTAIRE BAUDELAIRE</v>
      </c>
      <c r="F1400" t="str">
        <f>"2 RUE CHARLES BAUDELAIRE"</f>
        <v>2 RUE CHARLES BAUDELAIRE</v>
      </c>
      <c r="H1400" t="str">
        <f>"75012"</f>
        <v>75012</v>
      </c>
      <c r="I1400" t="str">
        <f>"PARIS"</f>
        <v>PARIS</v>
      </c>
      <c r="J1400" t="str">
        <f>"01 86 90 35 36 "</f>
        <v xml:space="preserve">01 86 90 35 36 </v>
      </c>
      <c r="L1400" s="1">
        <v>43454</v>
      </c>
      <c r="M1400" t="str">
        <f t="shared" si="232"/>
        <v>124</v>
      </c>
      <c r="N1400" t="str">
        <f t="shared" si="233"/>
        <v>Centre de Santé</v>
      </c>
      <c r="O1400" t="str">
        <f>"60"</f>
        <v>60</v>
      </c>
      <c r="P1400" t="str">
        <f>"Association Loi 1901 non Reconnue d'Utilité Publique"</f>
        <v>Association Loi 1901 non Reconnue d'Utilité Publique</v>
      </c>
      <c r="Q1400" t="str">
        <f t="shared" si="238"/>
        <v>36</v>
      </c>
      <c r="R1400" t="str">
        <f t="shared" si="239"/>
        <v>Tarifs conventionnels assurance maladie</v>
      </c>
      <c r="U1400" t="str">
        <f>"750060345"</f>
        <v>750060345</v>
      </c>
    </row>
    <row r="1401" spans="1:21" x14ac:dyDescent="0.3">
      <c r="A1401" t="str">
        <f>"590060711"</f>
        <v>590060711</v>
      </c>
      <c r="B1401" t="str">
        <f>"843 908 922 00019"</f>
        <v>843 908 922 00019</v>
      </c>
      <c r="D1401" t="str">
        <f>"CSP ROUBAIX"</f>
        <v>CSP ROUBAIX</v>
      </c>
      <c r="F1401" t="str">
        <f>"149 RUE DE L'ALMA"</f>
        <v>149 RUE DE L'ALMA</v>
      </c>
      <c r="H1401" t="str">
        <f>"59100"</f>
        <v>59100</v>
      </c>
      <c r="I1401" t="str">
        <f>"ROUBAIX"</f>
        <v>ROUBAIX</v>
      </c>
      <c r="L1401" s="1">
        <v>43447</v>
      </c>
      <c r="M1401" t="str">
        <f t="shared" si="232"/>
        <v>124</v>
      </c>
      <c r="N1401" t="str">
        <f t="shared" si="233"/>
        <v>Centre de Santé</v>
      </c>
      <c r="O1401" t="str">
        <f>"61"</f>
        <v>61</v>
      </c>
      <c r="P1401" t="str">
        <f>"Association Loi 1901 Reconnue d'Utilité Publique"</f>
        <v>Association Loi 1901 Reconnue d'Utilité Publique</v>
      </c>
      <c r="Q1401" t="str">
        <f t="shared" si="238"/>
        <v>36</v>
      </c>
      <c r="R1401" t="str">
        <f t="shared" si="239"/>
        <v>Tarifs conventionnels assurance maladie</v>
      </c>
      <c r="U1401" t="str">
        <f>"590060703"</f>
        <v>590060703</v>
      </c>
    </row>
    <row r="1402" spans="1:21" x14ac:dyDescent="0.3">
      <c r="A1402" t="str">
        <f>"750062804"</f>
        <v>750062804</v>
      </c>
      <c r="B1402" t="str">
        <f>"840 295 398 00019"</f>
        <v>840 295 398 00019</v>
      </c>
      <c r="D1402" t="str">
        <f>"CDS MEDICO-DENTAIRE PEREIRE"</f>
        <v>CDS MEDICO-DENTAIRE PEREIRE</v>
      </c>
      <c r="F1402" t="str">
        <f>"116 BOULEVARD PEREIRE"</f>
        <v>116 BOULEVARD PEREIRE</v>
      </c>
      <c r="H1402" t="str">
        <f>"75017"</f>
        <v>75017</v>
      </c>
      <c r="I1402" t="str">
        <f>"PARIS"</f>
        <v>PARIS</v>
      </c>
      <c r="L1402" s="1">
        <v>43444</v>
      </c>
      <c r="M1402" t="str">
        <f t="shared" si="232"/>
        <v>124</v>
      </c>
      <c r="N1402" t="str">
        <f t="shared" si="233"/>
        <v>Centre de Santé</v>
      </c>
      <c r="O1402" t="str">
        <f>"60"</f>
        <v>60</v>
      </c>
      <c r="P1402" t="str">
        <f>"Association Loi 1901 non Reconnue d'Utilité Publique"</f>
        <v>Association Loi 1901 non Reconnue d'Utilité Publique</v>
      </c>
      <c r="Q1402" t="str">
        <f t="shared" si="238"/>
        <v>36</v>
      </c>
      <c r="R1402" t="str">
        <f t="shared" si="239"/>
        <v>Tarifs conventionnels assurance maladie</v>
      </c>
      <c r="U1402" t="str">
        <f>"750062713"</f>
        <v>750062713</v>
      </c>
    </row>
    <row r="1403" spans="1:21" x14ac:dyDescent="0.3">
      <c r="A1403" t="str">
        <f>"750062812"</f>
        <v>750062812</v>
      </c>
      <c r="B1403" t="str">
        <f>"842 265 357 00017"</f>
        <v>842 265 357 00017</v>
      </c>
      <c r="D1403" t="str">
        <f>"CDS MEDICO-DENTAIRE MS GAMBETTA"</f>
        <v>CDS MEDICO-DENTAIRE MS GAMBETTA</v>
      </c>
      <c r="E1403" t="str">
        <f>"66-72"</f>
        <v>66-72</v>
      </c>
      <c r="F1403" t="str">
        <f>"66 RUE STENDHAL"</f>
        <v>66 RUE STENDHAL</v>
      </c>
      <c r="H1403" t="str">
        <f>"75020"</f>
        <v>75020</v>
      </c>
      <c r="I1403" t="str">
        <f>"PARIS"</f>
        <v>PARIS</v>
      </c>
      <c r="L1403" s="1">
        <v>43444</v>
      </c>
      <c r="M1403" t="str">
        <f t="shared" si="232"/>
        <v>124</v>
      </c>
      <c r="N1403" t="str">
        <f t="shared" si="233"/>
        <v>Centre de Santé</v>
      </c>
      <c r="O1403" t="str">
        <f>"60"</f>
        <v>60</v>
      </c>
      <c r="P1403" t="str">
        <f>"Association Loi 1901 non Reconnue d'Utilité Publique"</f>
        <v>Association Loi 1901 non Reconnue d'Utilité Publique</v>
      </c>
      <c r="Q1403" t="str">
        <f t="shared" si="238"/>
        <v>36</v>
      </c>
      <c r="R1403" t="str">
        <f t="shared" si="239"/>
        <v>Tarifs conventionnels assurance maladie</v>
      </c>
      <c r="U1403" t="str">
        <f>"750062721"</f>
        <v>750062721</v>
      </c>
    </row>
    <row r="1404" spans="1:21" x14ac:dyDescent="0.3">
      <c r="A1404" t="str">
        <f>"350053245"</f>
        <v>350053245</v>
      </c>
      <c r="D1404" t="str">
        <f>"CDS DENTASMILE RENNES-COLOMBIER"</f>
        <v>CDS DENTASMILE RENNES-COLOMBIER</v>
      </c>
      <c r="F1404" t="str">
        <f>"17 RUE DU PUITS MAUGER"</f>
        <v>17 RUE DU PUITS MAUGER</v>
      </c>
      <c r="H1404" t="str">
        <f>"35000"</f>
        <v>35000</v>
      </c>
      <c r="I1404" t="str">
        <f>"RENNES"</f>
        <v>RENNES</v>
      </c>
      <c r="L1404" s="1">
        <v>43437</v>
      </c>
      <c r="M1404" t="str">
        <f t="shared" si="232"/>
        <v>124</v>
      </c>
      <c r="N1404" t="str">
        <f t="shared" si="233"/>
        <v>Centre de Santé</v>
      </c>
      <c r="O1404" t="str">
        <f>"60"</f>
        <v>60</v>
      </c>
      <c r="P1404" t="str">
        <f>"Association Loi 1901 non Reconnue d'Utilité Publique"</f>
        <v>Association Loi 1901 non Reconnue d'Utilité Publique</v>
      </c>
      <c r="Q1404" t="str">
        <f t="shared" si="238"/>
        <v>36</v>
      </c>
      <c r="R1404" t="str">
        <f t="shared" si="239"/>
        <v>Tarifs conventionnels assurance maladie</v>
      </c>
      <c r="U1404" t="str">
        <f>"750057440"</f>
        <v>750057440</v>
      </c>
    </row>
    <row r="1405" spans="1:21" x14ac:dyDescent="0.3">
      <c r="A1405" t="str">
        <f>"750061855"</f>
        <v>750061855</v>
      </c>
      <c r="B1405" t="str">
        <f>"840 926 984 00013"</f>
        <v>840 926 984 00013</v>
      </c>
      <c r="D1405" t="str">
        <f>"CDS DENTAIRE TERNES WAGRAM"</f>
        <v>CDS DENTAIRE TERNES WAGRAM</v>
      </c>
      <c r="F1405" t="str">
        <f>"1 RUE MONTENOTTE"</f>
        <v>1 RUE MONTENOTTE</v>
      </c>
      <c r="H1405" t="str">
        <f>"75017"</f>
        <v>75017</v>
      </c>
      <c r="I1405" t="str">
        <f>"PARIS"</f>
        <v>PARIS</v>
      </c>
      <c r="J1405" t="str">
        <f>"01 45 75 08 08 "</f>
        <v xml:space="preserve">01 45 75 08 08 </v>
      </c>
      <c r="L1405" s="1">
        <v>43435</v>
      </c>
      <c r="M1405" t="str">
        <f t="shared" si="232"/>
        <v>124</v>
      </c>
      <c r="N1405" t="str">
        <f t="shared" si="233"/>
        <v>Centre de Santé</v>
      </c>
      <c r="O1405" t="str">
        <f>"60"</f>
        <v>60</v>
      </c>
      <c r="P1405" t="str">
        <f>"Association Loi 1901 non Reconnue d'Utilité Publique"</f>
        <v>Association Loi 1901 non Reconnue d'Utilité Publique</v>
      </c>
      <c r="Q1405" t="str">
        <f t="shared" si="238"/>
        <v>36</v>
      </c>
      <c r="R1405" t="str">
        <f t="shared" si="239"/>
        <v>Tarifs conventionnels assurance maladie</v>
      </c>
      <c r="U1405" t="str">
        <f>"750061830"</f>
        <v>750061830</v>
      </c>
    </row>
    <row r="1406" spans="1:21" x14ac:dyDescent="0.3">
      <c r="A1406" t="str">
        <f>"660011842"</f>
        <v>660011842</v>
      </c>
      <c r="B1406" t="str">
        <f>"841 009 830 00024"</f>
        <v>841 009 830 00024</v>
      </c>
      <c r="D1406" t="str">
        <f>"CENTRE DENTAIRE BEJAR"</f>
        <v>CENTRE DENTAIRE BEJAR</v>
      </c>
      <c r="F1406" t="str">
        <f>"18 CHEMIN DE SAINT GAUDÉRIQUE"</f>
        <v>18 CHEMIN DE SAINT GAUDÉRIQUE</v>
      </c>
      <c r="H1406" t="str">
        <f>"66330"</f>
        <v>66330</v>
      </c>
      <c r="I1406" t="str">
        <f>"CABESTANY"</f>
        <v>CABESTANY</v>
      </c>
      <c r="J1406" t="str">
        <f>"06 01 63 76 27 "</f>
        <v xml:space="preserve">06 01 63 76 27 </v>
      </c>
      <c r="L1406" s="1">
        <v>43434</v>
      </c>
      <c r="M1406" t="str">
        <f t="shared" si="232"/>
        <v>124</v>
      </c>
      <c r="N1406" t="str">
        <f t="shared" si="233"/>
        <v>Centre de Santé</v>
      </c>
      <c r="O1406" t="str">
        <f>"60"</f>
        <v>60</v>
      </c>
      <c r="P1406" t="str">
        <f>"Association Loi 1901 non Reconnue d'Utilité Publique"</f>
        <v>Association Loi 1901 non Reconnue d'Utilité Publique</v>
      </c>
      <c r="Q1406" t="str">
        <f t="shared" si="238"/>
        <v>36</v>
      </c>
      <c r="R1406" t="str">
        <f t="shared" si="239"/>
        <v>Tarifs conventionnels assurance maladie</v>
      </c>
      <c r="U1406" t="str">
        <f>"660011834"</f>
        <v>660011834</v>
      </c>
    </row>
    <row r="1407" spans="1:21" x14ac:dyDescent="0.3">
      <c r="A1407" t="str">
        <f>"010784759"</f>
        <v>010784759</v>
      </c>
      <c r="B1407" t="str">
        <f>"775 761 844 00940"</f>
        <v>775 761 844 00940</v>
      </c>
      <c r="D1407" t="str">
        <f>"CENTRE DE SANTE OXANCE BOURG EN BRESSE"</f>
        <v>CENTRE DE SANTE OXANCE BOURG EN BRESSE</v>
      </c>
      <c r="E1407" t="str">
        <f>"BATIMENT B"</f>
        <v>BATIMENT B</v>
      </c>
      <c r="F1407" t="str">
        <f>"70 AVENUE FRANCOIS PIGNIER"</f>
        <v>70 AVENUE FRANCOIS PIGNIER</v>
      </c>
      <c r="H1407" t="str">
        <f>"01000"</f>
        <v>01000</v>
      </c>
      <c r="I1407" t="str">
        <f>"BOURG EN BRESSE"</f>
        <v>BOURG EN BRESSE</v>
      </c>
      <c r="J1407" t="str">
        <f>"04 74 23 58 66 "</f>
        <v xml:space="preserve">04 74 23 58 66 </v>
      </c>
      <c r="K1407" t="str">
        <f>"04 74 23 49 54"</f>
        <v>04 74 23 49 54</v>
      </c>
      <c r="L1407" s="1">
        <v>43430</v>
      </c>
      <c r="M1407" t="str">
        <f t="shared" si="232"/>
        <v>124</v>
      </c>
      <c r="N1407" t="str">
        <f t="shared" si="233"/>
        <v>Centre de Santé</v>
      </c>
      <c r="O1407" t="str">
        <f>"47"</f>
        <v>47</v>
      </c>
      <c r="P1407" t="str">
        <f>"Société Mutualiste"</f>
        <v>Société Mutualiste</v>
      </c>
      <c r="Q1407" t="str">
        <f t="shared" si="238"/>
        <v>36</v>
      </c>
      <c r="R1407" t="str">
        <f t="shared" si="239"/>
        <v>Tarifs conventionnels assurance maladie</v>
      </c>
      <c r="U1407" t="str">
        <f>"690048111"</f>
        <v>690048111</v>
      </c>
    </row>
    <row r="1408" spans="1:21" x14ac:dyDescent="0.3">
      <c r="A1408" t="str">
        <f>"300017779"</f>
        <v>300017779</v>
      </c>
      <c r="B1408" t="str">
        <f>"491 147 880 00109"</f>
        <v>491 147 880 00109</v>
      </c>
      <c r="D1408" t="str">
        <f>"CDS DENTAIRE DES ANGLES"</f>
        <v>CDS DENTAIRE DES ANGLES</v>
      </c>
      <c r="F1408" t="str">
        <f>"980 AVENUE DE LA 2EME DB"</f>
        <v>980 AVENUE DE LA 2EME DB</v>
      </c>
      <c r="H1408" t="str">
        <f>"30133"</f>
        <v>30133</v>
      </c>
      <c r="I1408" t="str">
        <f>"LES ANGLES"</f>
        <v>LES ANGLES</v>
      </c>
      <c r="J1408" t="str">
        <f>"04 90 87 00 54 "</f>
        <v xml:space="preserve">04 90 87 00 54 </v>
      </c>
      <c r="K1408" t="str">
        <f>"04 90 27 14 10"</f>
        <v>04 90 27 14 10</v>
      </c>
      <c r="L1408" s="1">
        <v>43430</v>
      </c>
      <c r="M1408" t="str">
        <f t="shared" si="232"/>
        <v>124</v>
      </c>
      <c r="N1408" t="str">
        <f t="shared" si="233"/>
        <v>Centre de Santé</v>
      </c>
      <c r="O1408" t="str">
        <f>"47"</f>
        <v>47</v>
      </c>
      <c r="P1408" t="str">
        <f>"Société Mutualiste"</f>
        <v>Société Mutualiste</v>
      </c>
      <c r="Q1408" t="str">
        <f>"99"</f>
        <v>99</v>
      </c>
      <c r="R1408" t="str">
        <f>"Indéterminé"</f>
        <v>Indéterminé</v>
      </c>
      <c r="U1408" t="str">
        <f>"840016398"</f>
        <v>840016398</v>
      </c>
    </row>
    <row r="1409" spans="1:21" x14ac:dyDescent="0.3">
      <c r="A1409" t="str">
        <f>"950044297"</f>
        <v>950044297</v>
      </c>
      <c r="B1409" t="str">
        <f>"842 501 710 00029"</f>
        <v>842 501 710 00029</v>
      </c>
      <c r="D1409" t="str">
        <f>"CDS MEDICO-DENTAIRE DE FRANCONVILLE"</f>
        <v>CDS MEDICO-DENTAIRE DE FRANCONVILLE</v>
      </c>
      <c r="F1409" t="str">
        <f>"73 RUE DE LA STATION"</f>
        <v>73 RUE DE LA STATION</v>
      </c>
      <c r="H1409" t="str">
        <f>"95130"</f>
        <v>95130</v>
      </c>
      <c r="I1409" t="str">
        <f>"FRANCONVILLE LA GARENNE"</f>
        <v>FRANCONVILLE LA GARENNE</v>
      </c>
      <c r="L1409" s="1">
        <v>43426</v>
      </c>
      <c r="M1409" t="str">
        <f t="shared" si="232"/>
        <v>124</v>
      </c>
      <c r="N1409" t="str">
        <f t="shared" si="233"/>
        <v>Centre de Santé</v>
      </c>
      <c r="O1409" t="str">
        <f>"60"</f>
        <v>60</v>
      </c>
      <c r="P1409" t="str">
        <f>"Association Loi 1901 non Reconnue d'Utilité Publique"</f>
        <v>Association Loi 1901 non Reconnue d'Utilité Publique</v>
      </c>
      <c r="Q1409" t="str">
        <f t="shared" ref="Q1409:Q1420" si="240">"36"</f>
        <v>36</v>
      </c>
      <c r="R1409" t="str">
        <f t="shared" ref="R1409:R1420" si="241">"Tarifs conventionnels assurance maladie"</f>
        <v>Tarifs conventionnels assurance maladie</v>
      </c>
      <c r="U1409" t="str">
        <f>"950044289"</f>
        <v>950044289</v>
      </c>
    </row>
    <row r="1410" spans="1:21" x14ac:dyDescent="0.3">
      <c r="A1410" t="str">
        <f>"930028634"</f>
        <v>930028634</v>
      </c>
      <c r="B1410" t="str">
        <f>"841 675 077 00017"</f>
        <v>841 675 077 00017</v>
      </c>
      <c r="D1410" t="str">
        <f>"CDS DENTAIRE DU GRAND ANGLE"</f>
        <v>CDS DENTAIRE DU GRAND ANGLE</v>
      </c>
      <c r="E1410" t="str">
        <f>"CENTRE COMMERCIAL GRAND ANGLE"</f>
        <v>CENTRE COMMERCIAL GRAND ANGLE</v>
      </c>
      <c r="F1410" t="str">
        <f>"15 RUE DES LUMIERES"</f>
        <v>15 RUE DES LUMIERES</v>
      </c>
      <c r="H1410" t="str">
        <f>"93100"</f>
        <v>93100</v>
      </c>
      <c r="I1410" t="str">
        <f>"MONTREUIL"</f>
        <v>MONTREUIL</v>
      </c>
      <c r="L1410" s="1">
        <v>43420</v>
      </c>
      <c r="M1410" t="str">
        <f t="shared" ref="M1410:M1473" si="242">"124"</f>
        <v>124</v>
      </c>
      <c r="N1410" t="str">
        <f t="shared" ref="N1410:N1473" si="243">"Centre de Santé"</f>
        <v>Centre de Santé</v>
      </c>
      <c r="O1410" t="str">
        <f>"60"</f>
        <v>60</v>
      </c>
      <c r="P1410" t="str">
        <f>"Association Loi 1901 non Reconnue d'Utilité Publique"</f>
        <v>Association Loi 1901 non Reconnue d'Utilité Publique</v>
      </c>
      <c r="Q1410" t="str">
        <f t="shared" si="240"/>
        <v>36</v>
      </c>
      <c r="R1410" t="str">
        <f t="shared" si="241"/>
        <v>Tarifs conventionnels assurance maladie</v>
      </c>
      <c r="U1410" t="str">
        <f>"930028618"</f>
        <v>930028618</v>
      </c>
    </row>
    <row r="1411" spans="1:21" x14ac:dyDescent="0.3">
      <c r="A1411" t="str">
        <f>"510025588"</f>
        <v>510025588</v>
      </c>
      <c r="B1411" t="str">
        <f>"840 528 988 00024"</f>
        <v>840 528 988 00024</v>
      </c>
      <c r="D1411" t="str">
        <f>"CENTRE DE SANTE DENTAIRE DE REIMS"</f>
        <v>CENTRE DE SANTE DENTAIRE DE REIMS</v>
      </c>
      <c r="F1411" t="str">
        <f>"16 ROUTE DE CERNAY"</f>
        <v>16 ROUTE DE CERNAY</v>
      </c>
      <c r="H1411" t="str">
        <f>"51100"</f>
        <v>51100</v>
      </c>
      <c r="I1411" t="str">
        <f>"REIMS"</f>
        <v>REIMS</v>
      </c>
      <c r="J1411" t="str">
        <f>"03 26 48 55 55 "</f>
        <v xml:space="preserve">03 26 48 55 55 </v>
      </c>
      <c r="L1411" s="1">
        <v>43410</v>
      </c>
      <c r="M1411" t="str">
        <f t="shared" si="242"/>
        <v>124</v>
      </c>
      <c r="N1411" t="str">
        <f t="shared" si="243"/>
        <v>Centre de Santé</v>
      </c>
      <c r="O1411" t="str">
        <f>"60"</f>
        <v>60</v>
      </c>
      <c r="P1411" t="str">
        <f>"Association Loi 1901 non Reconnue d'Utilité Publique"</f>
        <v>Association Loi 1901 non Reconnue d'Utilité Publique</v>
      </c>
      <c r="Q1411" t="str">
        <f t="shared" si="240"/>
        <v>36</v>
      </c>
      <c r="R1411" t="str">
        <f t="shared" si="241"/>
        <v>Tarifs conventionnels assurance maladie</v>
      </c>
      <c r="U1411" t="str">
        <f>"920032943"</f>
        <v>920032943</v>
      </c>
    </row>
    <row r="1412" spans="1:21" x14ac:dyDescent="0.3">
      <c r="A1412" t="str">
        <f>"740016597"</f>
        <v>740016597</v>
      </c>
      <c r="B1412" t="str">
        <f>"197 400 682 00013"</f>
        <v>197 400 682 00013</v>
      </c>
      <c r="D1412" t="str">
        <f>"CENTRE DE SANTE ENSA"</f>
        <v>CENTRE DE SANTE ENSA</v>
      </c>
      <c r="F1412" t="str">
        <f>"35 ROUTE DU BOUCHET"</f>
        <v>35 ROUTE DU BOUCHET</v>
      </c>
      <c r="G1412" t="str">
        <f>"BP 24"</f>
        <v>BP 24</v>
      </c>
      <c r="H1412" t="str">
        <f>"74400"</f>
        <v>74400</v>
      </c>
      <c r="I1412" t="str">
        <f>"CHAMONIX MONT BLANC"</f>
        <v>CHAMONIX MONT BLANC</v>
      </c>
      <c r="J1412" t="str">
        <f>"04 50 55 30 35 "</f>
        <v xml:space="preserve">04 50 55 30 35 </v>
      </c>
      <c r="L1412" s="1">
        <v>43410</v>
      </c>
      <c r="M1412" t="str">
        <f t="shared" si="242"/>
        <v>124</v>
      </c>
      <c r="N1412" t="str">
        <f t="shared" si="243"/>
        <v>Centre de Santé</v>
      </c>
      <c r="O1412" t="str">
        <f>"26"</f>
        <v>26</v>
      </c>
      <c r="P1412" t="str">
        <f>"Autre Etablissement Public à Caractère Administratif"</f>
        <v>Autre Etablissement Public à Caractère Administratif</v>
      </c>
      <c r="Q1412" t="str">
        <f t="shared" si="240"/>
        <v>36</v>
      </c>
      <c r="R1412" t="str">
        <f t="shared" si="241"/>
        <v>Tarifs conventionnels assurance maladie</v>
      </c>
      <c r="U1412" t="str">
        <f>"740016589"</f>
        <v>740016589</v>
      </c>
    </row>
    <row r="1413" spans="1:21" x14ac:dyDescent="0.3">
      <c r="A1413" t="str">
        <f>"490020906"</f>
        <v>490020906</v>
      </c>
      <c r="B1413" t="str">
        <f>"264 900 895 00063"</f>
        <v>264 900 895 00063</v>
      </c>
      <c r="D1413" t="str">
        <f>"CENTRE COMMUNAL DE SANTE DE SAUMUR"</f>
        <v>CENTRE COMMUNAL DE SANTE DE SAUMUR</v>
      </c>
      <c r="F1413" t="str">
        <f>"111 RUE DU DOCTEUR SCHWEITZER"</f>
        <v>111 RUE DU DOCTEUR SCHWEITZER</v>
      </c>
      <c r="G1413" t="str">
        <f>"MAISON MEDICALE SCHWEITZER"</f>
        <v>MAISON MEDICALE SCHWEITZER</v>
      </c>
      <c r="H1413" t="str">
        <f>"49400"</f>
        <v>49400</v>
      </c>
      <c r="I1413" t="str">
        <f>"SAUMUR"</f>
        <v>SAUMUR</v>
      </c>
      <c r="J1413" t="str">
        <f>"02 41 67 77 60 "</f>
        <v xml:space="preserve">02 41 67 77 60 </v>
      </c>
      <c r="L1413" s="1">
        <v>43409</v>
      </c>
      <c r="M1413" t="str">
        <f t="shared" si="242"/>
        <v>124</v>
      </c>
      <c r="N1413" t="str">
        <f t="shared" si="243"/>
        <v>Centre de Santé</v>
      </c>
      <c r="O1413" t="str">
        <f>"17"</f>
        <v>17</v>
      </c>
      <c r="P1413" t="str">
        <f>"Centre Communal d'Action Sociale"</f>
        <v>Centre Communal d'Action Sociale</v>
      </c>
      <c r="Q1413" t="str">
        <f t="shared" si="240"/>
        <v>36</v>
      </c>
      <c r="R1413" t="str">
        <f t="shared" si="241"/>
        <v>Tarifs conventionnels assurance maladie</v>
      </c>
      <c r="U1413" t="str">
        <f>"490534740"</f>
        <v>490534740</v>
      </c>
    </row>
    <row r="1414" spans="1:21" x14ac:dyDescent="0.3">
      <c r="A1414" t="str">
        <f>"600014328"</f>
        <v>600014328</v>
      </c>
      <c r="B1414" t="str">
        <f>"246 000 756 00220"</f>
        <v>246 000 756 00220</v>
      </c>
      <c r="D1414" t="str">
        <f>"CENTRE DE SANTE POLYVALENT"</f>
        <v>CENTRE DE SANTE POLYVALENT</v>
      </c>
      <c r="F1414" t="str">
        <f>"57 RUE DE PARIS"</f>
        <v>57 RUE DE PARIS</v>
      </c>
      <c r="H1414" t="str">
        <f>"60400"</f>
        <v>60400</v>
      </c>
      <c r="I1414" t="str">
        <f>"NOYON"</f>
        <v>NOYON</v>
      </c>
      <c r="J1414" t="str">
        <f>"03 64 60 63 10 "</f>
        <v xml:space="preserve">03 64 60 63 10 </v>
      </c>
      <c r="L1414" s="1">
        <v>43409</v>
      </c>
      <c r="M1414" t="str">
        <f t="shared" si="242"/>
        <v>124</v>
      </c>
      <c r="N1414" t="str">
        <f t="shared" si="243"/>
        <v>Centre de Santé</v>
      </c>
      <c r="O1414" t="str">
        <f>"03"</f>
        <v>03</v>
      </c>
      <c r="P1414" t="str">
        <f>"Commune"</f>
        <v>Commune</v>
      </c>
      <c r="Q1414" t="str">
        <f t="shared" si="240"/>
        <v>36</v>
      </c>
      <c r="R1414" t="str">
        <f t="shared" si="241"/>
        <v>Tarifs conventionnels assurance maladie</v>
      </c>
      <c r="U1414" t="str">
        <f>"600014310"</f>
        <v>600014310</v>
      </c>
    </row>
    <row r="1415" spans="1:21" x14ac:dyDescent="0.3">
      <c r="A1415" t="str">
        <f>"800020265"</f>
        <v>800020265</v>
      </c>
      <c r="B1415" t="str">
        <f>"842 796 062 00011"</f>
        <v>842 796 062 00011</v>
      </c>
      <c r="D1415" t="str">
        <f>"CS DENTAIRE AMIENS"</f>
        <v>CS DENTAIRE AMIENS</v>
      </c>
      <c r="F1415" t="str">
        <f>"15 RUE ST-MARTIN-AUX-WAIDES"</f>
        <v>15 RUE ST-MARTIN-AUX-WAIDES</v>
      </c>
      <c r="H1415" t="str">
        <f>"80000"</f>
        <v>80000</v>
      </c>
      <c r="I1415" t="str">
        <f>"AMIENS"</f>
        <v>AMIENS</v>
      </c>
      <c r="J1415" t="str">
        <f>"06 88 40 95 35 "</f>
        <v xml:space="preserve">06 88 40 95 35 </v>
      </c>
      <c r="L1415" s="1">
        <v>43399</v>
      </c>
      <c r="M1415" t="str">
        <f t="shared" si="242"/>
        <v>124</v>
      </c>
      <c r="N1415" t="str">
        <f t="shared" si="243"/>
        <v>Centre de Santé</v>
      </c>
      <c r="O1415" t="str">
        <f>"61"</f>
        <v>61</v>
      </c>
      <c r="P1415" t="str">
        <f>"Association Loi 1901 Reconnue d'Utilité Publique"</f>
        <v>Association Loi 1901 Reconnue d'Utilité Publique</v>
      </c>
      <c r="Q1415" t="str">
        <f t="shared" si="240"/>
        <v>36</v>
      </c>
      <c r="R1415" t="str">
        <f t="shared" si="241"/>
        <v>Tarifs conventionnels assurance maladie</v>
      </c>
      <c r="U1415" t="str">
        <f>"800020257"</f>
        <v>800020257</v>
      </c>
    </row>
    <row r="1416" spans="1:21" x14ac:dyDescent="0.3">
      <c r="A1416" t="str">
        <f>"760037598"</f>
        <v>760037598</v>
      </c>
      <c r="B1416" t="str">
        <f>"837 946 722 00027"</f>
        <v>837 946 722 00027</v>
      </c>
      <c r="D1416" t="str">
        <f>"CENTRE DE SANTÉ DENTAIRE LE HAVRE"</f>
        <v>CENTRE DE SANTÉ DENTAIRE LE HAVRE</v>
      </c>
      <c r="F1416" t="str">
        <f>"64 AVENUE RENÉ COTY"</f>
        <v>64 AVENUE RENÉ COTY</v>
      </c>
      <c r="H1416" t="str">
        <f>"76600"</f>
        <v>76600</v>
      </c>
      <c r="I1416" t="str">
        <f>"LE HAVRE"</f>
        <v>LE HAVRE</v>
      </c>
      <c r="J1416" t="str">
        <f>"02 79 01 16 34 "</f>
        <v xml:space="preserve">02 79 01 16 34 </v>
      </c>
      <c r="L1416" s="1">
        <v>43395</v>
      </c>
      <c r="M1416" t="str">
        <f t="shared" si="242"/>
        <v>124</v>
      </c>
      <c r="N1416" t="str">
        <f t="shared" si="243"/>
        <v>Centre de Santé</v>
      </c>
      <c r="O1416" t="str">
        <f>"60"</f>
        <v>60</v>
      </c>
      <c r="P1416" t="str">
        <f>"Association Loi 1901 non Reconnue d'Utilité Publique"</f>
        <v>Association Loi 1901 non Reconnue d'Utilité Publique</v>
      </c>
      <c r="Q1416" t="str">
        <f t="shared" si="240"/>
        <v>36</v>
      </c>
      <c r="R1416" t="str">
        <f t="shared" si="241"/>
        <v>Tarifs conventionnels assurance maladie</v>
      </c>
      <c r="U1416" t="str">
        <f>"760038927"</f>
        <v>760038927</v>
      </c>
    </row>
    <row r="1417" spans="1:21" x14ac:dyDescent="0.3">
      <c r="A1417" t="str">
        <f>"920032984"</f>
        <v>920032984</v>
      </c>
      <c r="B1417" t="str">
        <f>"840 944 680 00015"</f>
        <v>840 944 680 00015</v>
      </c>
      <c r="D1417" t="str">
        <f>"CDS MEDICO DENTAIRE CALMEL"</f>
        <v>CDS MEDICO DENTAIRE CALMEL</v>
      </c>
      <c r="E1417" t="str">
        <f>"CENTRE COMMERCIAL CARREFOUR"</f>
        <v>CENTRE COMMERCIAL CARREFOUR</v>
      </c>
      <c r="F1417" t="str">
        <f>"21 LOUIS CALMEL"</f>
        <v>21 LOUIS CALMEL</v>
      </c>
      <c r="H1417" t="str">
        <f>"92230"</f>
        <v>92230</v>
      </c>
      <c r="I1417" t="str">
        <f>"GENNEVILLIERS"</f>
        <v>GENNEVILLIERS</v>
      </c>
      <c r="J1417" t="str">
        <f>"01 49 20 68 20 "</f>
        <v xml:space="preserve">01 49 20 68 20 </v>
      </c>
      <c r="L1417" s="1">
        <v>43391</v>
      </c>
      <c r="M1417" t="str">
        <f t="shared" si="242"/>
        <v>124</v>
      </c>
      <c r="N1417" t="str">
        <f t="shared" si="243"/>
        <v>Centre de Santé</v>
      </c>
      <c r="O1417" t="str">
        <f>"60"</f>
        <v>60</v>
      </c>
      <c r="P1417" t="str">
        <f>"Association Loi 1901 non Reconnue d'Utilité Publique"</f>
        <v>Association Loi 1901 non Reconnue d'Utilité Publique</v>
      </c>
      <c r="Q1417" t="str">
        <f t="shared" si="240"/>
        <v>36</v>
      </c>
      <c r="R1417" t="str">
        <f t="shared" si="241"/>
        <v>Tarifs conventionnels assurance maladie</v>
      </c>
      <c r="U1417" t="str">
        <f>"920032901"</f>
        <v>920032901</v>
      </c>
    </row>
    <row r="1418" spans="1:21" x14ac:dyDescent="0.3">
      <c r="A1418" t="str">
        <f>"750062564"</f>
        <v>750062564</v>
      </c>
      <c r="B1418" t="str">
        <f>"841 560 311 00018"</f>
        <v>841 560 311 00018</v>
      </c>
      <c r="D1418" t="str">
        <f>"CDS ACCES VISION"</f>
        <v>CDS ACCES VISION</v>
      </c>
      <c r="F1418" t="str">
        <f>"81 RUE MICHEL ANGE"</f>
        <v>81 RUE MICHEL ANGE</v>
      </c>
      <c r="H1418" t="str">
        <f>"75016"</f>
        <v>75016</v>
      </c>
      <c r="I1418" t="str">
        <f>"PARIS"</f>
        <v>PARIS</v>
      </c>
      <c r="J1418" t="str">
        <f>"01 71 73 61 68 "</f>
        <v xml:space="preserve">01 71 73 61 68 </v>
      </c>
      <c r="L1418" s="1">
        <v>43390</v>
      </c>
      <c r="M1418" t="str">
        <f t="shared" si="242"/>
        <v>124</v>
      </c>
      <c r="N1418" t="str">
        <f t="shared" si="243"/>
        <v>Centre de Santé</v>
      </c>
      <c r="O1418" t="str">
        <f>"60"</f>
        <v>60</v>
      </c>
      <c r="P1418" t="str">
        <f>"Association Loi 1901 non Reconnue d'Utilité Publique"</f>
        <v>Association Loi 1901 non Reconnue d'Utilité Publique</v>
      </c>
      <c r="Q1418" t="str">
        <f t="shared" si="240"/>
        <v>36</v>
      </c>
      <c r="R1418" t="str">
        <f t="shared" si="241"/>
        <v>Tarifs conventionnels assurance maladie</v>
      </c>
      <c r="U1418" t="str">
        <f>"940024722"</f>
        <v>940024722</v>
      </c>
    </row>
    <row r="1419" spans="1:21" x14ac:dyDescent="0.3">
      <c r="A1419" t="str">
        <f>"920032976"</f>
        <v>920032976</v>
      </c>
      <c r="B1419" t="str">
        <f>"791 940 372 00018"</f>
        <v>791 940 372 00018</v>
      </c>
      <c r="D1419" t="str">
        <f>"CDS DENTAIRE D'ASNIERES"</f>
        <v>CDS DENTAIRE D'ASNIERES</v>
      </c>
      <c r="F1419" t="str">
        <f>"5 BOULEVARD VOLTAIRE"</f>
        <v>5 BOULEVARD VOLTAIRE</v>
      </c>
      <c r="H1419" t="str">
        <f>"92600"</f>
        <v>92600</v>
      </c>
      <c r="I1419" t="str">
        <f>"ASNIERES SUR SEINE"</f>
        <v>ASNIERES SUR SEINE</v>
      </c>
      <c r="J1419" t="str">
        <f>"01 77 37 97 17 "</f>
        <v xml:space="preserve">01 77 37 97 17 </v>
      </c>
      <c r="L1419" s="1">
        <v>43389</v>
      </c>
      <c r="M1419" t="str">
        <f t="shared" si="242"/>
        <v>124</v>
      </c>
      <c r="N1419" t="str">
        <f t="shared" si="243"/>
        <v>Centre de Santé</v>
      </c>
      <c r="O1419" t="str">
        <f>"60"</f>
        <v>60</v>
      </c>
      <c r="P1419" t="str">
        <f>"Association Loi 1901 non Reconnue d'Utilité Publique"</f>
        <v>Association Loi 1901 non Reconnue d'Utilité Publique</v>
      </c>
      <c r="Q1419" t="str">
        <f t="shared" si="240"/>
        <v>36</v>
      </c>
      <c r="R1419" t="str">
        <f t="shared" si="241"/>
        <v>Tarifs conventionnels assurance maladie</v>
      </c>
      <c r="U1419" t="str">
        <f>"920028578"</f>
        <v>920028578</v>
      </c>
    </row>
    <row r="1420" spans="1:21" x14ac:dyDescent="0.3">
      <c r="A1420" t="str">
        <f>"760037739"</f>
        <v>760037739</v>
      </c>
      <c r="B1420" t="str">
        <f>"842 797 680 00019"</f>
        <v>842 797 680 00019</v>
      </c>
      <c r="D1420" t="str">
        <f>"CDS DENTAIRE - PETIT COURONNE"</f>
        <v>CDS DENTAIRE - PETIT COURONNE</v>
      </c>
      <c r="F1420" t="str">
        <f>"700 RUE DE LA PIERRE D'ETAT"</f>
        <v>700 RUE DE LA PIERRE D'ETAT</v>
      </c>
      <c r="H1420" t="str">
        <f>"76650"</f>
        <v>76650</v>
      </c>
      <c r="I1420" t="str">
        <f>"PETIT COURONNE"</f>
        <v>PETIT COURONNE</v>
      </c>
      <c r="J1420" t="str">
        <f>"02 78 94 73 10 "</f>
        <v xml:space="preserve">02 78 94 73 10 </v>
      </c>
      <c r="L1420" s="1">
        <v>43386</v>
      </c>
      <c r="M1420" t="str">
        <f t="shared" si="242"/>
        <v>124</v>
      </c>
      <c r="N1420" t="str">
        <f t="shared" si="243"/>
        <v>Centre de Santé</v>
      </c>
      <c r="O1420" t="str">
        <f>"60"</f>
        <v>60</v>
      </c>
      <c r="P1420" t="str">
        <f>"Association Loi 1901 non Reconnue d'Utilité Publique"</f>
        <v>Association Loi 1901 non Reconnue d'Utilité Publique</v>
      </c>
      <c r="Q1420" t="str">
        <f t="shared" si="240"/>
        <v>36</v>
      </c>
      <c r="R1420" t="str">
        <f t="shared" si="241"/>
        <v>Tarifs conventionnels assurance maladie</v>
      </c>
      <c r="U1420" t="str">
        <f>"760037721"</f>
        <v>760037721</v>
      </c>
    </row>
    <row r="1421" spans="1:21" x14ac:dyDescent="0.3">
      <c r="A1421" t="str">
        <f>"360008379"</f>
        <v>360008379</v>
      </c>
      <c r="B1421" t="str">
        <f>"263 600 090 00116"</f>
        <v>263 600 090 00116</v>
      </c>
      <c r="D1421" t="str">
        <f>"CENTRE DE SANTE DU CHTB"</f>
        <v>CENTRE DE SANTE DU CHTB</v>
      </c>
      <c r="F1421" t="str">
        <f>"AVENUE JEAN BONNEFONT"</f>
        <v>AVENUE JEAN BONNEFONT</v>
      </c>
      <c r="H1421" t="str">
        <f>"36100"</f>
        <v>36100</v>
      </c>
      <c r="I1421" t="str">
        <f>"ISSOUDUN"</f>
        <v>ISSOUDUN</v>
      </c>
      <c r="J1421" t="str">
        <f>"02 54 03 54 05 "</f>
        <v xml:space="preserve">02 54 03 54 05 </v>
      </c>
      <c r="K1421" t="str">
        <f>"02 54 03 54 38"</f>
        <v>02 54 03 54 38</v>
      </c>
      <c r="L1421" s="1">
        <v>43384</v>
      </c>
      <c r="M1421" t="str">
        <f t="shared" si="242"/>
        <v>124</v>
      </c>
      <c r="N1421" t="str">
        <f t="shared" si="243"/>
        <v>Centre de Santé</v>
      </c>
      <c r="O1421" t="str">
        <f>"13"</f>
        <v>13</v>
      </c>
      <c r="P1421" t="str">
        <f>"Etablissement Public Communal d'Hospitalisation"</f>
        <v>Etablissement Public Communal d'Hospitalisation</v>
      </c>
      <c r="Q1421" t="str">
        <f>"99"</f>
        <v>99</v>
      </c>
      <c r="R1421" t="str">
        <f>"Indéterminé"</f>
        <v>Indéterminé</v>
      </c>
      <c r="U1421" t="str">
        <f>"360000046"</f>
        <v>360000046</v>
      </c>
    </row>
    <row r="1422" spans="1:21" x14ac:dyDescent="0.3">
      <c r="A1422" t="str">
        <f>"360008395"</f>
        <v>360008395</v>
      </c>
      <c r="B1422" t="str">
        <f>"263 600 090 00124"</f>
        <v>263 600 090 00124</v>
      </c>
      <c r="D1422" t="str">
        <f>"CENTRE DE SANTÉ ANNEXE CHTB"</f>
        <v>CENTRE DE SANTÉ ANNEXE CHTB</v>
      </c>
      <c r="E1422" t="str">
        <f>"MAISON MEDICALE"</f>
        <v>MAISON MEDICALE</v>
      </c>
      <c r="F1422" t="str">
        <f>"1 RUE DE L'AUBEPINE"</f>
        <v>1 RUE DE L'AUBEPINE</v>
      </c>
      <c r="H1422" t="str">
        <f>"36100"</f>
        <v>36100</v>
      </c>
      <c r="I1422" t="str">
        <f>"NEUVY PAILLOUX"</f>
        <v>NEUVY PAILLOUX</v>
      </c>
      <c r="J1422" t="str">
        <f>"02 54 03 54 05 "</f>
        <v xml:space="preserve">02 54 03 54 05 </v>
      </c>
      <c r="L1422" s="1">
        <v>43384</v>
      </c>
      <c r="M1422" t="str">
        <f t="shared" si="242"/>
        <v>124</v>
      </c>
      <c r="N1422" t="str">
        <f t="shared" si="243"/>
        <v>Centre de Santé</v>
      </c>
      <c r="O1422" t="str">
        <f>"13"</f>
        <v>13</v>
      </c>
      <c r="P1422" t="str">
        <f>"Etablissement Public Communal d'Hospitalisation"</f>
        <v>Etablissement Public Communal d'Hospitalisation</v>
      </c>
      <c r="Q1422" t="str">
        <f>"99"</f>
        <v>99</v>
      </c>
      <c r="R1422" t="str">
        <f>"Indéterminé"</f>
        <v>Indéterminé</v>
      </c>
      <c r="U1422" t="str">
        <f>"360000046"</f>
        <v>360000046</v>
      </c>
    </row>
    <row r="1423" spans="1:21" x14ac:dyDescent="0.3">
      <c r="A1423" t="str">
        <f>"750062432"</f>
        <v>750062432</v>
      </c>
      <c r="B1423" t="str">
        <f>"830 073 276 00107"</f>
        <v>830 073 276 00107</v>
      </c>
      <c r="D1423" t="str">
        <f>"CDS DENTAIRE GOBELINS"</f>
        <v>CDS DENTAIRE GOBELINS</v>
      </c>
      <c r="F1423" t="str">
        <f>"30 AVENUE DES GOBELINS"</f>
        <v>30 AVENUE DES GOBELINS</v>
      </c>
      <c r="H1423" t="str">
        <f>"75013"</f>
        <v>75013</v>
      </c>
      <c r="I1423" t="str">
        <f>"PARIS"</f>
        <v>PARIS</v>
      </c>
      <c r="J1423" t="str">
        <f>"01 86 90 27 27 "</f>
        <v xml:space="preserve">01 86 90 27 27 </v>
      </c>
      <c r="L1423" s="1">
        <v>43382</v>
      </c>
      <c r="M1423" t="str">
        <f t="shared" si="242"/>
        <v>124</v>
      </c>
      <c r="N1423" t="str">
        <f t="shared" si="243"/>
        <v>Centre de Santé</v>
      </c>
      <c r="O1423" t="str">
        <f>"60"</f>
        <v>60</v>
      </c>
      <c r="P1423" t="str">
        <f>"Association Loi 1901 non Reconnue d'Utilité Publique"</f>
        <v>Association Loi 1901 non Reconnue d'Utilité Publique</v>
      </c>
      <c r="Q1423" t="str">
        <f t="shared" ref="Q1423:Q1454" si="244">"36"</f>
        <v>36</v>
      </c>
      <c r="R1423" t="str">
        <f t="shared" ref="R1423:R1454" si="245">"Tarifs conventionnels assurance maladie"</f>
        <v>Tarifs conventionnels assurance maladie</v>
      </c>
      <c r="U1423" t="str">
        <f>"750060345"</f>
        <v>750060345</v>
      </c>
    </row>
    <row r="1424" spans="1:21" x14ac:dyDescent="0.3">
      <c r="A1424" t="str">
        <f>"340024595"</f>
        <v>340024595</v>
      </c>
      <c r="B1424" t="str">
        <f>"213 402 985 00138"</f>
        <v>213 402 985 00138</v>
      </c>
      <c r="D1424" t="str">
        <f>"CENTRE MUNICIPAL DE SANTÉ DE SAUVIAN"</f>
        <v>CENTRE MUNICIPAL DE SANTÉ DE SAUVIAN</v>
      </c>
      <c r="F1424" t="str">
        <f>"41 AVENUE PAUL VIDAL"</f>
        <v>41 AVENUE PAUL VIDAL</v>
      </c>
      <c r="H1424" t="str">
        <f>"34410"</f>
        <v>34410</v>
      </c>
      <c r="I1424" t="str">
        <f>"SAUVIAN"</f>
        <v>SAUVIAN</v>
      </c>
      <c r="J1424" t="str">
        <f>"04 67 31 81 11 "</f>
        <v xml:space="preserve">04 67 31 81 11 </v>
      </c>
      <c r="K1424" t="str">
        <f>"04 67 31 81 12"</f>
        <v>04 67 31 81 12</v>
      </c>
      <c r="L1424" s="1">
        <v>43381</v>
      </c>
      <c r="M1424" t="str">
        <f t="shared" si="242"/>
        <v>124</v>
      </c>
      <c r="N1424" t="str">
        <f t="shared" si="243"/>
        <v>Centre de Santé</v>
      </c>
      <c r="O1424" t="str">
        <f>"03"</f>
        <v>03</v>
      </c>
      <c r="P1424" t="str">
        <f>"Commune"</f>
        <v>Commune</v>
      </c>
      <c r="Q1424" t="str">
        <f t="shared" si="244"/>
        <v>36</v>
      </c>
      <c r="R1424" t="str">
        <f t="shared" si="245"/>
        <v>Tarifs conventionnels assurance maladie</v>
      </c>
      <c r="U1424" t="str">
        <f>"340024587"</f>
        <v>340024587</v>
      </c>
    </row>
    <row r="1425" spans="1:21" x14ac:dyDescent="0.3">
      <c r="A1425" t="str">
        <f>"820009819"</f>
        <v>820009819</v>
      </c>
      <c r="B1425" t="str">
        <f>"218 200 723 00011"</f>
        <v>218 200 723 00011</v>
      </c>
      <c r="D1425" t="str">
        <f>"CENTRE MUNICIPAL SANTE LES TEMPLIERS"</f>
        <v>CENTRE MUNICIPAL SANTE LES TEMPLIERS</v>
      </c>
      <c r="F1425" t="str">
        <f>"12 RUE DE CANTAROU"</f>
        <v>12 RUE DE CANTAROU</v>
      </c>
      <c r="H1425" t="str">
        <f>"82400"</f>
        <v>82400</v>
      </c>
      <c r="I1425" t="str">
        <f>"GOLFECH"</f>
        <v>GOLFECH</v>
      </c>
      <c r="J1425" t="str">
        <f>"05 31 85 00 08 "</f>
        <v xml:space="preserve">05 31 85 00 08 </v>
      </c>
      <c r="L1425" s="1">
        <v>43381</v>
      </c>
      <c r="M1425" t="str">
        <f t="shared" si="242"/>
        <v>124</v>
      </c>
      <c r="N1425" t="str">
        <f t="shared" si="243"/>
        <v>Centre de Santé</v>
      </c>
      <c r="O1425" t="str">
        <f>"03"</f>
        <v>03</v>
      </c>
      <c r="P1425" t="str">
        <f>"Commune"</f>
        <v>Commune</v>
      </c>
      <c r="Q1425" t="str">
        <f t="shared" si="244"/>
        <v>36</v>
      </c>
      <c r="R1425" t="str">
        <f t="shared" si="245"/>
        <v>Tarifs conventionnels assurance maladie</v>
      </c>
      <c r="U1425" t="str">
        <f>"820009801"</f>
        <v>820009801</v>
      </c>
    </row>
    <row r="1426" spans="1:21" x14ac:dyDescent="0.3">
      <c r="A1426" t="str">
        <f>"020017141"</f>
        <v>020017141</v>
      </c>
      <c r="B1426" t="str">
        <f>"210 202 024 00068"</f>
        <v>210 202 024 00068</v>
      </c>
      <c r="D1426" t="str">
        <f>"CSM MUNICIPAL DE COUCY"</f>
        <v>CSM MUNICIPAL DE COUCY</v>
      </c>
      <c r="F1426" t="str">
        <f>"PLACE DE L'HÔTEL DE VILLE"</f>
        <v>PLACE DE L'HÔTEL DE VILLE</v>
      </c>
      <c r="H1426" t="str">
        <f>"02380"</f>
        <v>02380</v>
      </c>
      <c r="I1426" t="str">
        <f>"COUCY LE CHATEAU AUFFRIQUE"</f>
        <v>COUCY LE CHATEAU AUFFRIQUE</v>
      </c>
      <c r="J1426" t="str">
        <f>"03 23 52 50 16 "</f>
        <v xml:space="preserve">03 23 52 50 16 </v>
      </c>
      <c r="L1426" s="1">
        <v>43374</v>
      </c>
      <c r="M1426" t="str">
        <f t="shared" si="242"/>
        <v>124</v>
      </c>
      <c r="N1426" t="str">
        <f t="shared" si="243"/>
        <v>Centre de Santé</v>
      </c>
      <c r="O1426" t="str">
        <f>"03"</f>
        <v>03</v>
      </c>
      <c r="P1426" t="str">
        <f>"Commune"</f>
        <v>Commune</v>
      </c>
      <c r="Q1426" t="str">
        <f t="shared" si="244"/>
        <v>36</v>
      </c>
      <c r="R1426" t="str">
        <f t="shared" si="245"/>
        <v>Tarifs conventionnels assurance maladie</v>
      </c>
      <c r="U1426" t="str">
        <f>"020017133"</f>
        <v>020017133</v>
      </c>
    </row>
    <row r="1427" spans="1:21" x14ac:dyDescent="0.3">
      <c r="A1427" t="str">
        <f>"220024228"</f>
        <v>220024228</v>
      </c>
      <c r="B1427" t="str">
        <f>"212 203 251 00161"</f>
        <v>212 203 251 00161</v>
      </c>
      <c r="D1427" t="str">
        <f>"CDS ST-QUAY-PORTRIEUX"</f>
        <v>CDS ST-QUAY-PORTRIEUX</v>
      </c>
      <c r="F1427" t="str">
        <f>"5 RUE DES SENTES"</f>
        <v>5 RUE DES SENTES</v>
      </c>
      <c r="H1427" t="str">
        <f>"22410"</f>
        <v>22410</v>
      </c>
      <c r="I1427" t="str">
        <f>"ST QUAY PORTRIEUX"</f>
        <v>ST QUAY PORTRIEUX</v>
      </c>
      <c r="J1427" t="str">
        <f>"02 96 70 80 80 "</f>
        <v xml:space="preserve">02 96 70 80 80 </v>
      </c>
      <c r="L1427" s="1">
        <v>43374</v>
      </c>
      <c r="M1427" t="str">
        <f t="shared" si="242"/>
        <v>124</v>
      </c>
      <c r="N1427" t="str">
        <f t="shared" si="243"/>
        <v>Centre de Santé</v>
      </c>
      <c r="O1427" t="str">
        <f>"03"</f>
        <v>03</v>
      </c>
      <c r="P1427" t="str">
        <f>"Commune"</f>
        <v>Commune</v>
      </c>
      <c r="Q1427" t="str">
        <f t="shared" si="244"/>
        <v>36</v>
      </c>
      <c r="R1427" t="str">
        <f t="shared" si="245"/>
        <v>Tarifs conventionnels assurance maladie</v>
      </c>
      <c r="U1427" t="str">
        <f>"220024210"</f>
        <v>220024210</v>
      </c>
    </row>
    <row r="1428" spans="1:21" x14ac:dyDescent="0.3">
      <c r="A1428" t="str">
        <f>"700005655"</f>
        <v>700005655</v>
      </c>
      <c r="B1428" t="str">
        <f>"322 190 489 00029"</f>
        <v>322 190 489 00029</v>
      </c>
      <c r="D1428" t="str">
        <f>"CENTRE DE SANTE MEDICAL"</f>
        <v>CENTRE DE SANTE MEDICAL</v>
      </c>
      <c r="F1428" t="str">
        <f>"20 AVENUE BERNARD LOUVOT"</f>
        <v>20 AVENUE BERNARD LOUVOT</v>
      </c>
      <c r="H1428" t="str">
        <f>"70180"</f>
        <v>70180</v>
      </c>
      <c r="I1428" t="str">
        <f>"DAMPIERRE SUR SALON"</f>
        <v>DAMPIERRE SUR SALON</v>
      </c>
      <c r="J1428" t="str">
        <f>"03 84 67 10 45 "</f>
        <v xml:space="preserve">03 84 67 10 45 </v>
      </c>
      <c r="L1428" s="1">
        <v>43374</v>
      </c>
      <c r="M1428" t="str">
        <f t="shared" si="242"/>
        <v>124</v>
      </c>
      <c r="N1428" t="str">
        <f t="shared" si="243"/>
        <v>Centre de Santé</v>
      </c>
      <c r="O1428" t="str">
        <f>"60"</f>
        <v>60</v>
      </c>
      <c r="P1428" t="str">
        <f>"Association Loi 1901 non Reconnue d'Utilité Publique"</f>
        <v>Association Loi 1901 non Reconnue d'Utilité Publique</v>
      </c>
      <c r="Q1428" t="str">
        <f t="shared" si="244"/>
        <v>36</v>
      </c>
      <c r="R1428" t="str">
        <f t="shared" si="245"/>
        <v>Tarifs conventionnels assurance maladie</v>
      </c>
      <c r="U1428" t="str">
        <f>"700000250"</f>
        <v>700000250</v>
      </c>
    </row>
    <row r="1429" spans="1:21" x14ac:dyDescent="0.3">
      <c r="A1429" t="str">
        <f>"760037325"</f>
        <v>760037325</v>
      </c>
      <c r="B1429" t="str">
        <f>"200 069 839 00179"</f>
        <v>200 069 839 00179</v>
      </c>
      <c r="D1429" t="str">
        <f>"CENTRE COMMUNAUTAIRE DE SANTÉ"</f>
        <v>CENTRE COMMUNAUTAIRE DE SANTÉ</v>
      </c>
      <c r="F1429" t="str">
        <f>"4 RUE LOUIS PASTEUR"</f>
        <v>4 RUE LOUIS PASTEUR</v>
      </c>
      <c r="H1429" t="str">
        <f>"76740"</f>
        <v>76740</v>
      </c>
      <c r="I1429" t="str">
        <f>"FONTAINE LE DUN"</f>
        <v>FONTAINE LE DUN</v>
      </c>
      <c r="J1429" t="str">
        <f>"02 85 29 20 61 "</f>
        <v xml:space="preserve">02 85 29 20 61 </v>
      </c>
      <c r="K1429" t="str">
        <f>"02 35 97 07 39"</f>
        <v>02 35 97 07 39</v>
      </c>
      <c r="L1429" s="1">
        <v>43374</v>
      </c>
      <c r="M1429" t="str">
        <f t="shared" si="242"/>
        <v>124</v>
      </c>
      <c r="N1429" t="str">
        <f t="shared" si="243"/>
        <v>Centre de Santé</v>
      </c>
      <c r="O1429" t="str">
        <f>"03"</f>
        <v>03</v>
      </c>
      <c r="P1429" t="str">
        <f>"Commune"</f>
        <v>Commune</v>
      </c>
      <c r="Q1429" t="str">
        <f t="shared" si="244"/>
        <v>36</v>
      </c>
      <c r="R1429" t="str">
        <f t="shared" si="245"/>
        <v>Tarifs conventionnels assurance maladie</v>
      </c>
      <c r="U1429" t="str">
        <f>"760025189"</f>
        <v>760025189</v>
      </c>
    </row>
    <row r="1430" spans="1:21" x14ac:dyDescent="0.3">
      <c r="A1430" t="str">
        <f>"060025913"</f>
        <v>060025913</v>
      </c>
      <c r="D1430" t="str">
        <f>"CDS DENTAIRE DENTEGO ANTIBES"</f>
        <v>CDS DENTAIRE DENTEGO ANTIBES</v>
      </c>
      <c r="F1430" t="str">
        <f>"20 BOULEVARD DU PRESIDENT WILSON"</f>
        <v>20 BOULEVARD DU PRESIDENT WILSON</v>
      </c>
      <c r="H1430" t="str">
        <f>"06160"</f>
        <v>06160</v>
      </c>
      <c r="I1430" t="str">
        <f>"ANTIBES"</f>
        <v>ANTIBES</v>
      </c>
      <c r="J1430" t="str">
        <f>"06 88 40 95 35 "</f>
        <v xml:space="preserve">06 88 40 95 35 </v>
      </c>
      <c r="L1430" s="1">
        <v>43367</v>
      </c>
      <c r="M1430" t="str">
        <f t="shared" si="242"/>
        <v>124</v>
      </c>
      <c r="N1430" t="str">
        <f t="shared" si="243"/>
        <v>Centre de Santé</v>
      </c>
      <c r="O1430" t="str">
        <f>"60"</f>
        <v>60</v>
      </c>
      <c r="P1430" t="str">
        <f>"Association Loi 1901 non Reconnue d'Utilité Publique"</f>
        <v>Association Loi 1901 non Reconnue d'Utilité Publique</v>
      </c>
      <c r="Q1430" t="str">
        <f t="shared" si="244"/>
        <v>36</v>
      </c>
      <c r="R1430" t="str">
        <f t="shared" si="245"/>
        <v>Tarifs conventionnels assurance maladie</v>
      </c>
      <c r="U1430" t="str">
        <f>"060025905"</f>
        <v>060025905</v>
      </c>
    </row>
    <row r="1431" spans="1:21" x14ac:dyDescent="0.3">
      <c r="A1431" t="str">
        <f>"130047772"</f>
        <v>130047772</v>
      </c>
      <c r="D1431" t="str">
        <f>"CDS DENTAIRE PONT DE VIVAUX"</f>
        <v>CDS DENTAIRE PONT DE VIVAUX</v>
      </c>
      <c r="F1431" t="str">
        <f>"159 BOULEVARD PONT DE VIVAUX"</f>
        <v>159 BOULEVARD PONT DE VIVAUX</v>
      </c>
      <c r="H1431" t="str">
        <f>"13010"</f>
        <v>13010</v>
      </c>
      <c r="I1431" t="str">
        <f>"MARSEILLE"</f>
        <v>MARSEILLE</v>
      </c>
      <c r="J1431" t="str">
        <f>"06 15 77 42 23 "</f>
        <v xml:space="preserve">06 15 77 42 23 </v>
      </c>
      <c r="L1431" s="1">
        <v>43367</v>
      </c>
      <c r="M1431" t="str">
        <f t="shared" si="242"/>
        <v>124</v>
      </c>
      <c r="N1431" t="str">
        <f t="shared" si="243"/>
        <v>Centre de Santé</v>
      </c>
      <c r="O1431" t="str">
        <f>"61"</f>
        <v>61</v>
      </c>
      <c r="P1431" t="str">
        <f>"Association Loi 1901 Reconnue d'Utilité Publique"</f>
        <v>Association Loi 1901 Reconnue d'Utilité Publique</v>
      </c>
      <c r="Q1431" t="str">
        <f t="shared" si="244"/>
        <v>36</v>
      </c>
      <c r="R1431" t="str">
        <f t="shared" si="245"/>
        <v>Tarifs conventionnels assurance maladie</v>
      </c>
      <c r="U1431" t="str">
        <f>"130047764"</f>
        <v>130047764</v>
      </c>
    </row>
    <row r="1432" spans="1:21" x14ac:dyDescent="0.3">
      <c r="A1432" t="str">
        <f>"130047947"</f>
        <v>130047947</v>
      </c>
      <c r="D1432" t="str">
        <f>"CDS CLINADENT NEGRESKO"</f>
        <v>CDS CLINADENT NEGRESKO</v>
      </c>
      <c r="F1432" t="str">
        <f>"26 RUE NEGRESKO"</f>
        <v>26 RUE NEGRESKO</v>
      </c>
      <c r="H1432" t="str">
        <f>"13008"</f>
        <v>13008</v>
      </c>
      <c r="I1432" t="str">
        <f>"MARSEILLE"</f>
        <v>MARSEILLE</v>
      </c>
      <c r="J1432" t="str">
        <f>"06 60 04 13 59 "</f>
        <v xml:space="preserve">06 60 04 13 59 </v>
      </c>
      <c r="L1432" s="1">
        <v>43367</v>
      </c>
      <c r="M1432" t="str">
        <f t="shared" si="242"/>
        <v>124</v>
      </c>
      <c r="N1432" t="str">
        <f t="shared" si="243"/>
        <v>Centre de Santé</v>
      </c>
      <c r="O1432" t="str">
        <f>"60"</f>
        <v>60</v>
      </c>
      <c r="P1432" t="str">
        <f>"Association Loi 1901 non Reconnue d'Utilité Publique"</f>
        <v>Association Loi 1901 non Reconnue d'Utilité Publique</v>
      </c>
      <c r="Q1432" t="str">
        <f t="shared" si="244"/>
        <v>36</v>
      </c>
      <c r="R1432" t="str">
        <f t="shared" si="245"/>
        <v>Tarifs conventionnels assurance maladie</v>
      </c>
      <c r="U1432" t="str">
        <f>"130047939"</f>
        <v>130047939</v>
      </c>
    </row>
    <row r="1433" spans="1:21" x14ac:dyDescent="0.3">
      <c r="A1433" t="str">
        <f>"830024634"</f>
        <v>830024634</v>
      </c>
      <c r="D1433" t="str">
        <f>"CDS DENTAIRE DENTEGO SAINT RAPHAEL"</f>
        <v>CDS DENTAIRE DENTEGO SAINT RAPHAEL</v>
      </c>
      <c r="F1433" t="str">
        <f>"6 BOULEVARD GENERAL DE GAULLE"</f>
        <v>6 BOULEVARD GENERAL DE GAULLE</v>
      </c>
      <c r="H1433" t="str">
        <f>"83700"</f>
        <v>83700</v>
      </c>
      <c r="I1433" t="str">
        <f>"ST RAPHAEL"</f>
        <v>ST RAPHAEL</v>
      </c>
      <c r="J1433" t="str">
        <f>"06 88 40 95 35 "</f>
        <v xml:space="preserve">06 88 40 95 35 </v>
      </c>
      <c r="L1433" s="1">
        <v>43367</v>
      </c>
      <c r="M1433" t="str">
        <f t="shared" si="242"/>
        <v>124</v>
      </c>
      <c r="N1433" t="str">
        <f t="shared" si="243"/>
        <v>Centre de Santé</v>
      </c>
      <c r="O1433" t="str">
        <f>"60"</f>
        <v>60</v>
      </c>
      <c r="P1433" t="str">
        <f>"Association Loi 1901 non Reconnue d'Utilité Publique"</f>
        <v>Association Loi 1901 non Reconnue d'Utilité Publique</v>
      </c>
      <c r="Q1433" t="str">
        <f t="shared" si="244"/>
        <v>36</v>
      </c>
      <c r="R1433" t="str">
        <f t="shared" si="245"/>
        <v>Tarifs conventionnels assurance maladie</v>
      </c>
      <c r="U1433" t="str">
        <f>"830024626"</f>
        <v>830024626</v>
      </c>
    </row>
    <row r="1434" spans="1:21" x14ac:dyDescent="0.3">
      <c r="A1434" t="str">
        <f>"240016840"</f>
        <v>240016840</v>
      </c>
      <c r="B1434" t="str">
        <f>"212 402 291 00109"</f>
        <v>212 402 291 00109</v>
      </c>
      <c r="D1434" t="str">
        <f>"CENTRE MUNICIPAL DE SANTE"</f>
        <v>CENTRE MUNICIPAL DE SANTE</v>
      </c>
      <c r="F1434" t="str">
        <f>"60 AVENUE DU 8 MAI 1945"</f>
        <v>60 AVENUE DU 8 MAI 1945</v>
      </c>
      <c r="H1434" t="str">
        <f>"24570"</f>
        <v>24570</v>
      </c>
      <c r="I1434" t="str">
        <f>"LE LARDIN ST LAZARE"</f>
        <v>LE LARDIN ST LAZARE</v>
      </c>
      <c r="J1434" t="str">
        <f>"05 64 34 20 00 "</f>
        <v xml:space="preserve">05 64 34 20 00 </v>
      </c>
      <c r="L1434" s="1">
        <v>43363</v>
      </c>
      <c r="M1434" t="str">
        <f t="shared" si="242"/>
        <v>124</v>
      </c>
      <c r="N1434" t="str">
        <f t="shared" si="243"/>
        <v>Centre de Santé</v>
      </c>
      <c r="O1434" t="str">
        <f>"03"</f>
        <v>03</v>
      </c>
      <c r="P1434" t="str">
        <f>"Commune"</f>
        <v>Commune</v>
      </c>
      <c r="Q1434" t="str">
        <f t="shared" si="244"/>
        <v>36</v>
      </c>
      <c r="R1434" t="str">
        <f t="shared" si="245"/>
        <v>Tarifs conventionnels assurance maladie</v>
      </c>
      <c r="U1434" t="str">
        <f>"240016832"</f>
        <v>240016832</v>
      </c>
    </row>
    <row r="1435" spans="1:21" x14ac:dyDescent="0.3">
      <c r="A1435" t="str">
        <f>"930028543"</f>
        <v>930028543</v>
      </c>
      <c r="B1435" t="str">
        <f>"833 963 408 00012"</f>
        <v>833 963 408 00012</v>
      </c>
      <c r="D1435" t="str">
        <f>"CDS MEDICO-DENTAIRE AVENIR"</f>
        <v>CDS MEDICO-DENTAIRE AVENIR</v>
      </c>
      <c r="F1435" t="str">
        <f>"16 BOULEVARD CARNOT"</f>
        <v>16 BOULEVARD CARNOT</v>
      </c>
      <c r="H1435" t="str">
        <f>"93330"</f>
        <v>93330</v>
      </c>
      <c r="I1435" t="str">
        <f>"NEUILLY SUR MARNE"</f>
        <v>NEUILLY SUR MARNE</v>
      </c>
      <c r="J1435" t="str">
        <f>"01 79 63 33 85 "</f>
        <v xml:space="preserve">01 79 63 33 85 </v>
      </c>
      <c r="L1435" s="1">
        <v>43362</v>
      </c>
      <c r="M1435" t="str">
        <f t="shared" si="242"/>
        <v>124</v>
      </c>
      <c r="N1435" t="str">
        <f t="shared" si="243"/>
        <v>Centre de Santé</v>
      </c>
      <c r="O1435" t="str">
        <f t="shared" ref="O1435:O1444" si="246">"60"</f>
        <v>60</v>
      </c>
      <c r="P1435" t="str">
        <f t="shared" ref="P1435:P1444" si="247">"Association Loi 1901 non Reconnue d'Utilité Publique"</f>
        <v>Association Loi 1901 non Reconnue d'Utilité Publique</v>
      </c>
      <c r="Q1435" t="str">
        <f t="shared" si="244"/>
        <v>36</v>
      </c>
      <c r="R1435" t="str">
        <f t="shared" si="245"/>
        <v>Tarifs conventionnels assurance maladie</v>
      </c>
      <c r="U1435" t="str">
        <f>"930028477"</f>
        <v>930028477</v>
      </c>
    </row>
    <row r="1436" spans="1:21" x14ac:dyDescent="0.3">
      <c r="A1436" t="str">
        <f>"590060380"</f>
        <v>590060380</v>
      </c>
      <c r="D1436" t="str">
        <f>"CSD DENTAIRE LILLE WAZEMMES"</f>
        <v>CSD DENTAIRE LILLE WAZEMMES</v>
      </c>
      <c r="F1436" t="str">
        <f>"284 RUE LÉON GAMBETTA"</f>
        <v>284 RUE LÉON GAMBETTA</v>
      </c>
      <c r="H1436" t="str">
        <f>"59000"</f>
        <v>59000</v>
      </c>
      <c r="I1436" t="str">
        <f>"LILLE"</f>
        <v>LILLE</v>
      </c>
      <c r="L1436" s="1">
        <v>43360</v>
      </c>
      <c r="M1436" t="str">
        <f t="shared" si="242"/>
        <v>124</v>
      </c>
      <c r="N1436" t="str">
        <f t="shared" si="243"/>
        <v>Centre de Santé</v>
      </c>
      <c r="O1436" t="str">
        <f t="shared" si="246"/>
        <v>60</v>
      </c>
      <c r="P1436" t="str">
        <f t="shared" si="247"/>
        <v>Association Loi 1901 non Reconnue d'Utilité Publique</v>
      </c>
      <c r="Q1436" t="str">
        <f t="shared" si="244"/>
        <v>36</v>
      </c>
      <c r="R1436" t="str">
        <f t="shared" si="245"/>
        <v>Tarifs conventionnels assurance maladie</v>
      </c>
      <c r="U1436" t="str">
        <f>"750057440"</f>
        <v>750057440</v>
      </c>
    </row>
    <row r="1437" spans="1:21" x14ac:dyDescent="0.3">
      <c r="A1437" t="str">
        <f>"930028535"</f>
        <v>930028535</v>
      </c>
      <c r="B1437" t="str">
        <f>"840 297 030 00016"</f>
        <v>840 297 030 00016</v>
      </c>
      <c r="D1437" t="str">
        <f>"CDS DENTAIRE DE LA PLAINE ST DENIS"</f>
        <v>CDS DENTAIRE DE LA PLAINE ST DENIS</v>
      </c>
      <c r="F1437" t="str">
        <f>"3 RUE DE LA MONTJOIE"</f>
        <v>3 RUE DE LA MONTJOIE</v>
      </c>
      <c r="H1437" t="str">
        <f>"93200"</f>
        <v>93200</v>
      </c>
      <c r="I1437" t="str">
        <f>"ST DENIS"</f>
        <v>ST DENIS</v>
      </c>
      <c r="L1437" s="1">
        <v>43360</v>
      </c>
      <c r="M1437" t="str">
        <f t="shared" si="242"/>
        <v>124</v>
      </c>
      <c r="N1437" t="str">
        <f t="shared" si="243"/>
        <v>Centre de Santé</v>
      </c>
      <c r="O1437" t="str">
        <f t="shared" si="246"/>
        <v>60</v>
      </c>
      <c r="P1437" t="str">
        <f t="shared" si="247"/>
        <v>Association Loi 1901 non Reconnue d'Utilité Publique</v>
      </c>
      <c r="Q1437" t="str">
        <f t="shared" si="244"/>
        <v>36</v>
      </c>
      <c r="R1437" t="str">
        <f t="shared" si="245"/>
        <v>Tarifs conventionnels assurance maladie</v>
      </c>
      <c r="U1437" t="str">
        <f>"930028444"</f>
        <v>930028444</v>
      </c>
    </row>
    <row r="1438" spans="1:21" x14ac:dyDescent="0.3">
      <c r="A1438" t="str">
        <f>"930028485"</f>
        <v>930028485</v>
      </c>
      <c r="B1438" t="str">
        <f>"838 221 661 00013"</f>
        <v>838 221 661 00013</v>
      </c>
      <c r="D1438" t="str">
        <f>"CDS MEDICAL DENTAIR OPHTALMO BONDY HDV"</f>
        <v>CDS MEDICAL DENTAIR OPHTALMO BONDY HDV</v>
      </c>
      <c r="E1438" t="str">
        <f>"9-11"</f>
        <v>9-11</v>
      </c>
      <c r="F1438" t="str">
        <f>"9 AVENUE HENRI BARBUSSE"</f>
        <v>9 AVENUE HENRI BARBUSSE</v>
      </c>
      <c r="H1438" t="str">
        <f>"93140"</f>
        <v>93140</v>
      </c>
      <c r="I1438" t="str">
        <f>"BONDY"</f>
        <v>BONDY</v>
      </c>
      <c r="L1438" s="1">
        <v>43356</v>
      </c>
      <c r="M1438" t="str">
        <f t="shared" si="242"/>
        <v>124</v>
      </c>
      <c r="N1438" t="str">
        <f t="shared" si="243"/>
        <v>Centre de Santé</v>
      </c>
      <c r="O1438" t="str">
        <f t="shared" si="246"/>
        <v>60</v>
      </c>
      <c r="P1438" t="str">
        <f t="shared" si="247"/>
        <v>Association Loi 1901 non Reconnue d'Utilité Publique</v>
      </c>
      <c r="Q1438" t="str">
        <f t="shared" si="244"/>
        <v>36</v>
      </c>
      <c r="R1438" t="str">
        <f t="shared" si="245"/>
        <v>Tarifs conventionnels assurance maladie</v>
      </c>
      <c r="U1438" t="str">
        <f>"930028451"</f>
        <v>930028451</v>
      </c>
    </row>
    <row r="1439" spans="1:21" x14ac:dyDescent="0.3">
      <c r="A1439" t="str">
        <f>"490020856"</f>
        <v>490020856</v>
      </c>
      <c r="B1439" t="str">
        <f>"878 310 143 00044"</f>
        <v>878 310 143 00044</v>
      </c>
      <c r="D1439" t="str">
        <f>"CSI LES PONTS DE CE"</f>
        <v>CSI LES PONTS DE CE</v>
      </c>
      <c r="F1439" t="str">
        <f>"3 RUE JEAN MACE"</f>
        <v>3 RUE JEAN MACE</v>
      </c>
      <c r="H1439" t="str">
        <f>"49130"</f>
        <v>49130</v>
      </c>
      <c r="I1439" t="str">
        <f>"LES PONTS DE CE"</f>
        <v>LES PONTS DE CE</v>
      </c>
      <c r="J1439" t="str">
        <f>"02 41 86 49 00 "</f>
        <v xml:space="preserve">02 41 86 49 00 </v>
      </c>
      <c r="K1439" t="str">
        <f>"02 41 80 61 33"</f>
        <v>02 41 80 61 33</v>
      </c>
      <c r="L1439" s="1">
        <v>43353</v>
      </c>
      <c r="M1439" t="str">
        <f t="shared" si="242"/>
        <v>124</v>
      </c>
      <c r="N1439" t="str">
        <f t="shared" si="243"/>
        <v>Centre de Santé</v>
      </c>
      <c r="O1439" t="str">
        <f t="shared" si="246"/>
        <v>60</v>
      </c>
      <c r="P1439" t="str">
        <f t="shared" si="247"/>
        <v>Association Loi 1901 non Reconnue d'Utilité Publique</v>
      </c>
      <c r="Q1439" t="str">
        <f t="shared" si="244"/>
        <v>36</v>
      </c>
      <c r="R1439" t="str">
        <f t="shared" si="245"/>
        <v>Tarifs conventionnels assurance maladie</v>
      </c>
      <c r="U1439" t="str">
        <f>"490021771"</f>
        <v>490021771</v>
      </c>
    </row>
    <row r="1440" spans="1:21" x14ac:dyDescent="0.3">
      <c r="A1440" t="str">
        <f>"280007766"</f>
        <v>280007766</v>
      </c>
      <c r="B1440" t="str">
        <f>"835 370 545 00013"</f>
        <v>835 370 545 00013</v>
      </c>
      <c r="D1440" t="str">
        <f>"CENTRE DE SANTE DENTAIRE ASSEL"</f>
        <v>CENTRE DE SANTE DENTAIRE ASSEL</v>
      </c>
      <c r="F1440" t="str">
        <f>"3 RUE SAINT PIERRE"</f>
        <v>3 RUE SAINT PIERRE</v>
      </c>
      <c r="H1440" t="str">
        <f>"28130"</f>
        <v>28130</v>
      </c>
      <c r="I1440" t="str">
        <f>"MAINTENON"</f>
        <v>MAINTENON</v>
      </c>
      <c r="J1440" t="str">
        <f>"06 10 16 10 10 "</f>
        <v xml:space="preserve">06 10 16 10 10 </v>
      </c>
      <c r="L1440" s="1">
        <v>43350</v>
      </c>
      <c r="M1440" t="str">
        <f t="shared" si="242"/>
        <v>124</v>
      </c>
      <c r="N1440" t="str">
        <f t="shared" si="243"/>
        <v>Centre de Santé</v>
      </c>
      <c r="O1440" t="str">
        <f t="shared" si="246"/>
        <v>60</v>
      </c>
      <c r="P1440" t="str">
        <f t="shared" si="247"/>
        <v>Association Loi 1901 non Reconnue d'Utilité Publique</v>
      </c>
      <c r="Q1440" t="str">
        <f t="shared" si="244"/>
        <v>36</v>
      </c>
      <c r="R1440" t="str">
        <f t="shared" si="245"/>
        <v>Tarifs conventionnels assurance maladie</v>
      </c>
      <c r="U1440" t="str">
        <f>"280007758"</f>
        <v>280007758</v>
      </c>
    </row>
    <row r="1441" spans="1:21" x14ac:dyDescent="0.3">
      <c r="A1441" t="str">
        <f>"750062192"</f>
        <v>750062192</v>
      </c>
      <c r="D1441" t="str">
        <f>"CDS MEDICO-DENTAIRE NATIONALE"</f>
        <v>CDS MEDICO-DENTAIRE NATIONALE</v>
      </c>
      <c r="F1441" t="str">
        <f>"80 RUE NATIONALE"</f>
        <v>80 RUE NATIONALE</v>
      </c>
      <c r="H1441" t="str">
        <f>"75013"</f>
        <v>75013</v>
      </c>
      <c r="I1441" t="str">
        <f>"PARIS"</f>
        <v>PARIS</v>
      </c>
      <c r="L1441" s="1">
        <v>43349</v>
      </c>
      <c r="M1441" t="str">
        <f t="shared" si="242"/>
        <v>124</v>
      </c>
      <c r="N1441" t="str">
        <f t="shared" si="243"/>
        <v>Centre de Santé</v>
      </c>
      <c r="O1441" t="str">
        <f t="shared" si="246"/>
        <v>60</v>
      </c>
      <c r="P1441" t="str">
        <f t="shared" si="247"/>
        <v>Association Loi 1901 non Reconnue d'Utilité Publique</v>
      </c>
      <c r="Q1441" t="str">
        <f t="shared" si="244"/>
        <v>36</v>
      </c>
      <c r="R1441" t="str">
        <f t="shared" si="245"/>
        <v>Tarifs conventionnels assurance maladie</v>
      </c>
      <c r="U1441" t="str">
        <f>"750062184"</f>
        <v>750062184</v>
      </c>
    </row>
    <row r="1442" spans="1:21" x14ac:dyDescent="0.3">
      <c r="A1442" t="str">
        <f>"930028469"</f>
        <v>930028469</v>
      </c>
      <c r="B1442" t="str">
        <f>"840 815 922 00017"</f>
        <v>840 815 922 00017</v>
      </c>
      <c r="D1442" t="str">
        <f>"CDS MEDICO-DENTAIRE BAGNOLET"</f>
        <v>CDS MEDICO-DENTAIRE BAGNOLET</v>
      </c>
      <c r="F1442" t="str">
        <f>"4 RUE HOCHE"</f>
        <v>4 RUE HOCHE</v>
      </c>
      <c r="H1442" t="str">
        <f>"93170"</f>
        <v>93170</v>
      </c>
      <c r="I1442" t="str">
        <f>"BAGNOLET"</f>
        <v>BAGNOLET</v>
      </c>
      <c r="L1442" s="1">
        <v>43349</v>
      </c>
      <c r="M1442" t="str">
        <f t="shared" si="242"/>
        <v>124</v>
      </c>
      <c r="N1442" t="str">
        <f t="shared" si="243"/>
        <v>Centre de Santé</v>
      </c>
      <c r="O1442" t="str">
        <f t="shared" si="246"/>
        <v>60</v>
      </c>
      <c r="P1442" t="str">
        <f t="shared" si="247"/>
        <v>Association Loi 1901 non Reconnue d'Utilité Publique</v>
      </c>
      <c r="Q1442" t="str">
        <f t="shared" si="244"/>
        <v>36</v>
      </c>
      <c r="R1442" t="str">
        <f t="shared" si="245"/>
        <v>Tarifs conventionnels assurance maladie</v>
      </c>
      <c r="U1442" t="str">
        <f>"930028410"</f>
        <v>930028410</v>
      </c>
    </row>
    <row r="1443" spans="1:21" x14ac:dyDescent="0.3">
      <c r="A1443" t="str">
        <f>"930028428"</f>
        <v>930028428</v>
      </c>
      <c r="B1443" t="str">
        <f>"841 273 634 00011"</f>
        <v>841 273 634 00011</v>
      </c>
      <c r="D1443" t="str">
        <f>"CDS DENTAIRE DE VILLEPINTE"</f>
        <v>CDS DENTAIRE DE VILLEPINTE</v>
      </c>
      <c r="F1443" t="str">
        <f>"27 AVENUE DE LA GARE"</f>
        <v>27 AVENUE DE LA GARE</v>
      </c>
      <c r="H1443" t="str">
        <f>"93420"</f>
        <v>93420</v>
      </c>
      <c r="I1443" t="str">
        <f>"VILLEPINTE"</f>
        <v>VILLEPINTE</v>
      </c>
      <c r="L1443" s="1">
        <v>43347</v>
      </c>
      <c r="M1443" t="str">
        <f t="shared" si="242"/>
        <v>124</v>
      </c>
      <c r="N1443" t="str">
        <f t="shared" si="243"/>
        <v>Centre de Santé</v>
      </c>
      <c r="O1443" t="str">
        <f t="shared" si="246"/>
        <v>60</v>
      </c>
      <c r="P1443" t="str">
        <f t="shared" si="247"/>
        <v>Association Loi 1901 non Reconnue d'Utilité Publique</v>
      </c>
      <c r="Q1443" t="str">
        <f t="shared" si="244"/>
        <v>36</v>
      </c>
      <c r="R1443" t="str">
        <f t="shared" si="245"/>
        <v>Tarifs conventionnels assurance maladie</v>
      </c>
      <c r="U1443" t="str">
        <f>"930028394"</f>
        <v>930028394</v>
      </c>
    </row>
    <row r="1444" spans="1:21" x14ac:dyDescent="0.3">
      <c r="A1444" t="str">
        <f>"140032095"</f>
        <v>140032095</v>
      </c>
      <c r="B1444" t="str">
        <f>"838 574 994 00011"</f>
        <v>838 574 994 00011</v>
      </c>
      <c r="D1444" t="str">
        <f>"CENTRE DE SANTE DENTAIRE CAEN ST PIERR"</f>
        <v>CENTRE DE SANTE DENTAIRE CAEN ST PIERR</v>
      </c>
      <c r="F1444" t="str">
        <f>"20 RUE SAINT PIERRE"</f>
        <v>20 RUE SAINT PIERRE</v>
      </c>
      <c r="H1444" t="str">
        <f>"14000"</f>
        <v>14000</v>
      </c>
      <c r="I1444" t="str">
        <f>"CAEN"</f>
        <v>CAEN</v>
      </c>
      <c r="J1444" t="str">
        <f>"06 88 40 95 35 "</f>
        <v xml:space="preserve">06 88 40 95 35 </v>
      </c>
      <c r="L1444" s="1">
        <v>43346</v>
      </c>
      <c r="M1444" t="str">
        <f t="shared" si="242"/>
        <v>124</v>
      </c>
      <c r="N1444" t="str">
        <f t="shared" si="243"/>
        <v>Centre de Santé</v>
      </c>
      <c r="O1444" t="str">
        <f t="shared" si="246"/>
        <v>60</v>
      </c>
      <c r="P1444" t="str">
        <f t="shared" si="247"/>
        <v>Association Loi 1901 non Reconnue d'Utilité Publique</v>
      </c>
      <c r="Q1444" t="str">
        <f t="shared" si="244"/>
        <v>36</v>
      </c>
      <c r="R1444" t="str">
        <f t="shared" si="245"/>
        <v>Tarifs conventionnels assurance maladie</v>
      </c>
      <c r="U1444" t="str">
        <f>"140032087"</f>
        <v>140032087</v>
      </c>
    </row>
    <row r="1445" spans="1:21" x14ac:dyDescent="0.3">
      <c r="A1445" t="str">
        <f>"510025547"</f>
        <v>510025547</v>
      </c>
      <c r="B1445" t="str">
        <f>"780 349 833 00480"</f>
        <v>780 349 833 00480</v>
      </c>
      <c r="D1445" t="str">
        <f>"CENTRE DE SANTE POLYVALENT DU HAMOIS"</f>
        <v>CENTRE DE SANTE POLYVALENT DU HAMOIS</v>
      </c>
      <c r="F1445" t="str">
        <f>"14 RUE ABRAHAM DE MOIVRE"</f>
        <v>14 RUE ABRAHAM DE MOIVRE</v>
      </c>
      <c r="H1445" t="str">
        <f>"51300"</f>
        <v>51300</v>
      </c>
      <c r="I1445" t="str">
        <f>"VITRY LE FRANCOIS"</f>
        <v>VITRY LE FRANCOIS</v>
      </c>
      <c r="J1445" t="str">
        <f>"03 26 62 14 14 "</f>
        <v xml:space="preserve">03 26 62 14 14 </v>
      </c>
      <c r="L1445" s="1">
        <v>43346</v>
      </c>
      <c r="M1445" t="str">
        <f t="shared" si="242"/>
        <v>124</v>
      </c>
      <c r="N1445" t="str">
        <f t="shared" si="243"/>
        <v>Centre de Santé</v>
      </c>
      <c r="O1445" t="str">
        <f>"47"</f>
        <v>47</v>
      </c>
      <c r="P1445" t="str">
        <f>"Société Mutualiste"</f>
        <v>Société Mutualiste</v>
      </c>
      <c r="Q1445" t="str">
        <f t="shared" si="244"/>
        <v>36</v>
      </c>
      <c r="R1445" t="str">
        <f t="shared" si="245"/>
        <v>Tarifs conventionnels assurance maladie</v>
      </c>
      <c r="U1445" t="str">
        <f>"510024581"</f>
        <v>510024581</v>
      </c>
    </row>
    <row r="1446" spans="1:21" x14ac:dyDescent="0.3">
      <c r="A1446" t="str">
        <f>"830024576"</f>
        <v>830024576</v>
      </c>
      <c r="D1446" t="str">
        <f>"CDS DENTAIRE DENTEGO TOULON"</f>
        <v>CDS DENTAIRE DENTEGO TOULON</v>
      </c>
      <c r="F1446" t="str">
        <f>"70 BOULEVARD DE STRASBOURG"</f>
        <v>70 BOULEVARD DE STRASBOURG</v>
      </c>
      <c r="H1446" t="str">
        <f>"83000"</f>
        <v>83000</v>
      </c>
      <c r="I1446" t="str">
        <f>"TOULON"</f>
        <v>TOULON</v>
      </c>
      <c r="J1446" t="str">
        <f>"06 88 40 95 35 "</f>
        <v xml:space="preserve">06 88 40 95 35 </v>
      </c>
      <c r="L1446" s="1">
        <v>43346</v>
      </c>
      <c r="M1446" t="str">
        <f t="shared" si="242"/>
        <v>124</v>
      </c>
      <c r="N1446" t="str">
        <f t="shared" si="243"/>
        <v>Centre de Santé</v>
      </c>
      <c r="O1446" t="str">
        <f>"60"</f>
        <v>60</v>
      </c>
      <c r="P1446" t="str">
        <f>"Association Loi 1901 non Reconnue d'Utilité Publique"</f>
        <v>Association Loi 1901 non Reconnue d'Utilité Publique</v>
      </c>
      <c r="Q1446" t="str">
        <f t="shared" si="244"/>
        <v>36</v>
      </c>
      <c r="R1446" t="str">
        <f t="shared" si="245"/>
        <v>Tarifs conventionnels assurance maladie</v>
      </c>
      <c r="U1446" t="str">
        <f>"830024568"</f>
        <v>830024568</v>
      </c>
    </row>
    <row r="1447" spans="1:21" x14ac:dyDescent="0.3">
      <c r="A1447" t="str">
        <f>"980501365"</f>
        <v>980501365</v>
      </c>
      <c r="D1447" t="str">
        <f>"SAS CENTRE ONAKIA MAYOTTE"</f>
        <v>SAS CENTRE ONAKIA MAYOTTE</v>
      </c>
      <c r="F1447" t="str">
        <f>"ROND POINT EL FAROUK KAWENI"</f>
        <v>ROND POINT EL FAROUK KAWENI</v>
      </c>
      <c r="G1447" t="str">
        <f>"IMMEUBLE EL FAROUK"</f>
        <v>IMMEUBLE EL FAROUK</v>
      </c>
      <c r="H1447" t="str">
        <f>"97600"</f>
        <v>97600</v>
      </c>
      <c r="I1447" t="str">
        <f>"MAMOUDZOU"</f>
        <v>MAMOUDZOU</v>
      </c>
      <c r="L1447" s="1">
        <v>43346</v>
      </c>
      <c r="M1447" t="str">
        <f t="shared" si="242"/>
        <v>124</v>
      </c>
      <c r="N1447" t="str">
        <f t="shared" si="243"/>
        <v>Centre de Santé</v>
      </c>
      <c r="O1447" t="str">
        <f>"95"</f>
        <v>95</v>
      </c>
      <c r="P1447" t="str">
        <f>"Société par Actions Simplifiée (S.A.S.)"</f>
        <v>Société par Actions Simplifiée (S.A.S.)</v>
      </c>
      <c r="Q1447" t="str">
        <f t="shared" si="244"/>
        <v>36</v>
      </c>
      <c r="R1447" t="str">
        <f t="shared" si="245"/>
        <v>Tarifs conventionnels assurance maladie</v>
      </c>
      <c r="U1447" t="str">
        <f>"980501357"</f>
        <v>980501357</v>
      </c>
    </row>
    <row r="1448" spans="1:21" x14ac:dyDescent="0.3">
      <c r="A1448" t="str">
        <f>"690043419"</f>
        <v>690043419</v>
      </c>
      <c r="D1448" t="str">
        <f>"CENTRE DE SANTE COMMUNE"</f>
        <v>CENTRE DE SANTE COMMUNE</v>
      </c>
      <c r="F1448" t="str">
        <f>"14 AVENUE VOLTAIRE"</f>
        <v>14 AVENUE VOLTAIRE</v>
      </c>
      <c r="H1448" t="str">
        <f>"69120"</f>
        <v>69120</v>
      </c>
      <c r="I1448" t="str">
        <f>"VAULX EN VELIN"</f>
        <v>VAULX EN VELIN</v>
      </c>
      <c r="L1448" s="1">
        <v>43344</v>
      </c>
      <c r="M1448" t="str">
        <f t="shared" si="242"/>
        <v>124</v>
      </c>
      <c r="N1448" t="str">
        <f t="shared" si="243"/>
        <v>Centre de Santé</v>
      </c>
      <c r="O1448" t="str">
        <f>"61"</f>
        <v>61</v>
      </c>
      <c r="P1448" t="str">
        <f>"Association Loi 1901 Reconnue d'Utilité Publique"</f>
        <v>Association Loi 1901 Reconnue d'Utilité Publique</v>
      </c>
      <c r="Q1448" t="str">
        <f t="shared" si="244"/>
        <v>36</v>
      </c>
      <c r="R1448" t="str">
        <f t="shared" si="245"/>
        <v>Tarifs conventionnels assurance maladie</v>
      </c>
      <c r="U1448" t="str">
        <f>"690043401"</f>
        <v>690043401</v>
      </c>
    </row>
    <row r="1449" spans="1:21" x14ac:dyDescent="0.3">
      <c r="A1449" t="str">
        <f>"590060448"</f>
        <v>590060448</v>
      </c>
      <c r="B1449" t="str">
        <f>"775 621 725 00024"</f>
        <v>775 621 725 00024</v>
      </c>
      <c r="D1449" t="str">
        <f>"CS POLYVALENT DE DUNKERQUE"</f>
        <v>CS POLYVALENT DE DUNKERQUE</v>
      </c>
      <c r="F1449" t="str">
        <f>"10 RUE POINCARÉ"</f>
        <v>10 RUE POINCARÉ</v>
      </c>
      <c r="H1449" t="str">
        <f>"59140"</f>
        <v>59140</v>
      </c>
      <c r="I1449" t="str">
        <f>"DUNKERQUE"</f>
        <v>DUNKERQUE</v>
      </c>
      <c r="J1449" t="str">
        <f>"03 28 65 91 00 "</f>
        <v xml:space="preserve">03 28 65 91 00 </v>
      </c>
      <c r="L1449" s="1">
        <v>43343</v>
      </c>
      <c r="M1449" t="str">
        <f t="shared" si="242"/>
        <v>124</v>
      </c>
      <c r="N1449" t="str">
        <f t="shared" si="243"/>
        <v>Centre de Santé</v>
      </c>
      <c r="O1449" t="str">
        <f>"47"</f>
        <v>47</v>
      </c>
      <c r="P1449" t="str">
        <f>"Société Mutualiste"</f>
        <v>Société Mutualiste</v>
      </c>
      <c r="Q1449" t="str">
        <f t="shared" si="244"/>
        <v>36</v>
      </c>
      <c r="R1449" t="str">
        <f t="shared" si="245"/>
        <v>Tarifs conventionnels assurance maladie</v>
      </c>
      <c r="U1449" t="str">
        <f>"590799474"</f>
        <v>590799474</v>
      </c>
    </row>
    <row r="1450" spans="1:21" x14ac:dyDescent="0.3">
      <c r="A1450" t="str">
        <f>"890009731"</f>
        <v>890009731</v>
      </c>
      <c r="B1450" t="str">
        <f>"841 085 418 00017"</f>
        <v>841 085 418 00017</v>
      </c>
      <c r="D1450" t="str">
        <f>"CENTRE DE SANTE CTLM"</f>
        <v>CENTRE DE SANTE CTLM</v>
      </c>
      <c r="F1450" t="str">
        <f>"20 RUE VICTOR GUICHARD"</f>
        <v>20 RUE VICTOR GUICHARD</v>
      </c>
      <c r="H1450" t="str">
        <f>"89100"</f>
        <v>89100</v>
      </c>
      <c r="I1450" t="str">
        <f>"SENS"</f>
        <v>SENS</v>
      </c>
      <c r="L1450" s="1">
        <v>43321</v>
      </c>
      <c r="M1450" t="str">
        <f t="shared" si="242"/>
        <v>124</v>
      </c>
      <c r="N1450" t="str">
        <f t="shared" si="243"/>
        <v>Centre de Santé</v>
      </c>
      <c r="O1450" t="str">
        <f>"60"</f>
        <v>60</v>
      </c>
      <c r="P1450" t="str">
        <f>"Association Loi 1901 non Reconnue d'Utilité Publique"</f>
        <v>Association Loi 1901 non Reconnue d'Utilité Publique</v>
      </c>
      <c r="Q1450" t="str">
        <f t="shared" si="244"/>
        <v>36</v>
      </c>
      <c r="R1450" t="str">
        <f t="shared" si="245"/>
        <v>Tarifs conventionnels assurance maladie</v>
      </c>
      <c r="U1450" t="str">
        <f>"890009723"</f>
        <v>890009723</v>
      </c>
    </row>
    <row r="1451" spans="1:21" x14ac:dyDescent="0.3">
      <c r="A1451" t="str">
        <f>"890009749"</f>
        <v>890009749</v>
      </c>
      <c r="B1451" t="str">
        <f>"775 567 761 01908"</f>
        <v>775 567 761 01908</v>
      </c>
      <c r="D1451" t="str">
        <f>"CENTRE SANTE DENTAIRE"</f>
        <v>CENTRE SANTE DENTAIRE</v>
      </c>
      <c r="F1451" t="str">
        <f>"2 AVENUE DE LA GARE"</f>
        <v>2 AVENUE DE LA GARE</v>
      </c>
      <c r="H1451" t="str">
        <f>"89700"</f>
        <v>89700</v>
      </c>
      <c r="I1451" t="str">
        <f>"TONNERRE"</f>
        <v>TONNERRE</v>
      </c>
      <c r="L1451" s="1">
        <v>43321</v>
      </c>
      <c r="M1451" t="str">
        <f t="shared" si="242"/>
        <v>124</v>
      </c>
      <c r="N1451" t="str">
        <f t="shared" si="243"/>
        <v>Centre de Santé</v>
      </c>
      <c r="O1451" t="str">
        <f>"47"</f>
        <v>47</v>
      </c>
      <c r="P1451" t="str">
        <f>"Société Mutualiste"</f>
        <v>Société Mutualiste</v>
      </c>
      <c r="Q1451" t="str">
        <f t="shared" si="244"/>
        <v>36</v>
      </c>
      <c r="R1451" t="str">
        <f t="shared" si="245"/>
        <v>Tarifs conventionnels assurance maladie</v>
      </c>
      <c r="U1451" t="str">
        <f>"210781266"</f>
        <v>210781266</v>
      </c>
    </row>
    <row r="1452" spans="1:21" x14ac:dyDescent="0.3">
      <c r="A1452" t="str">
        <f>"940024417"</f>
        <v>940024417</v>
      </c>
      <c r="B1452" t="str">
        <f>"841 464 357 00018"</f>
        <v>841 464 357 00018</v>
      </c>
      <c r="D1452" t="str">
        <f>"CDS LIVI"</f>
        <v>CDS LIVI</v>
      </c>
      <c r="F1452" t="str">
        <f>"40 AVENUE DE VERDUN"</f>
        <v>40 AVENUE DE VERDUN</v>
      </c>
      <c r="H1452" t="str">
        <f>"94000"</f>
        <v>94000</v>
      </c>
      <c r="I1452" t="str">
        <f>"CRETEIL"</f>
        <v>CRETEIL</v>
      </c>
      <c r="L1452" s="1">
        <v>43318</v>
      </c>
      <c r="M1452" t="str">
        <f t="shared" si="242"/>
        <v>124</v>
      </c>
      <c r="N1452" t="str">
        <f t="shared" si="243"/>
        <v>Centre de Santé</v>
      </c>
      <c r="O1452" t="str">
        <f>"60"</f>
        <v>60</v>
      </c>
      <c r="P1452" t="str">
        <f>"Association Loi 1901 non Reconnue d'Utilité Publique"</f>
        <v>Association Loi 1901 non Reconnue d'Utilité Publique</v>
      </c>
      <c r="Q1452" t="str">
        <f t="shared" si="244"/>
        <v>36</v>
      </c>
      <c r="R1452" t="str">
        <f t="shared" si="245"/>
        <v>Tarifs conventionnels assurance maladie</v>
      </c>
      <c r="U1452" t="str">
        <f>"750062119"</f>
        <v>750062119</v>
      </c>
    </row>
    <row r="1453" spans="1:21" x14ac:dyDescent="0.3">
      <c r="A1453" t="str">
        <f>"940024359"</f>
        <v>940024359</v>
      </c>
      <c r="D1453" t="str">
        <f>"CDS DENTAIRE CRETEIL VILLAGE"</f>
        <v>CDS DENTAIRE CRETEIL VILLAGE</v>
      </c>
      <c r="F1453" t="str">
        <f>"13 RUE DE LA PORTE DE BRIE"</f>
        <v>13 RUE DE LA PORTE DE BRIE</v>
      </c>
      <c r="H1453" t="str">
        <f>"94000"</f>
        <v>94000</v>
      </c>
      <c r="I1453" t="str">
        <f>"CRETEIL"</f>
        <v>CRETEIL</v>
      </c>
      <c r="L1453" s="1">
        <v>43315</v>
      </c>
      <c r="M1453" t="str">
        <f t="shared" si="242"/>
        <v>124</v>
      </c>
      <c r="N1453" t="str">
        <f t="shared" si="243"/>
        <v>Centre de Santé</v>
      </c>
      <c r="O1453" t="str">
        <f>"60"</f>
        <v>60</v>
      </c>
      <c r="P1453" t="str">
        <f>"Association Loi 1901 non Reconnue d'Utilité Publique"</f>
        <v>Association Loi 1901 non Reconnue d'Utilité Publique</v>
      </c>
      <c r="Q1453" t="str">
        <f t="shared" si="244"/>
        <v>36</v>
      </c>
      <c r="R1453" t="str">
        <f t="shared" si="245"/>
        <v>Tarifs conventionnels assurance maladie</v>
      </c>
      <c r="U1453" t="str">
        <f>"940024342"</f>
        <v>940024342</v>
      </c>
    </row>
    <row r="1454" spans="1:21" x14ac:dyDescent="0.3">
      <c r="A1454" t="str">
        <f>"750062101"</f>
        <v>750062101</v>
      </c>
      <c r="B1454" t="str">
        <f>"894 878 099 00015"</f>
        <v>894 878 099 00015</v>
      </c>
      <c r="D1454" t="str">
        <f>"CDS MEDICO-DENTAIRE PARIS EST"</f>
        <v>CDS MEDICO-DENTAIRE PARIS EST</v>
      </c>
      <c r="F1454" t="str">
        <f>"60 RUE CHATEAU LANDON"</f>
        <v>60 RUE CHATEAU LANDON</v>
      </c>
      <c r="H1454" t="str">
        <f>"75010"</f>
        <v>75010</v>
      </c>
      <c r="I1454" t="str">
        <f>"PARIS"</f>
        <v>PARIS</v>
      </c>
      <c r="J1454" t="str">
        <f>"01 42 05 42 42 "</f>
        <v xml:space="preserve">01 42 05 42 42 </v>
      </c>
      <c r="L1454" s="1">
        <v>43313</v>
      </c>
      <c r="M1454" t="str">
        <f t="shared" si="242"/>
        <v>124</v>
      </c>
      <c r="N1454" t="str">
        <f t="shared" si="243"/>
        <v>Centre de Santé</v>
      </c>
      <c r="O1454" t="str">
        <f>"60"</f>
        <v>60</v>
      </c>
      <c r="P1454" t="str">
        <f>"Association Loi 1901 non Reconnue d'Utilité Publique"</f>
        <v>Association Loi 1901 non Reconnue d'Utilité Publique</v>
      </c>
      <c r="Q1454" t="str">
        <f t="shared" si="244"/>
        <v>36</v>
      </c>
      <c r="R1454" t="str">
        <f t="shared" si="245"/>
        <v>Tarifs conventionnels assurance maladie</v>
      </c>
      <c r="U1454" t="str">
        <f>"750067506"</f>
        <v>750067506</v>
      </c>
    </row>
    <row r="1455" spans="1:21" x14ac:dyDescent="0.3">
      <c r="A1455" t="str">
        <f>"750062093"</f>
        <v>750062093</v>
      </c>
      <c r="B1455" t="str">
        <f>"841 163 629 00014"</f>
        <v>841 163 629 00014</v>
      </c>
      <c r="D1455" t="str">
        <f>"CDS MEDIKSANTE"</f>
        <v>CDS MEDIKSANTE</v>
      </c>
      <c r="F1455" t="str">
        <f>"206 BOULEVARD PEREIRE"</f>
        <v>206 BOULEVARD PEREIRE</v>
      </c>
      <c r="H1455" t="str">
        <f>"75017"</f>
        <v>75017</v>
      </c>
      <c r="I1455" t="str">
        <f>"PARIS"</f>
        <v>PARIS</v>
      </c>
      <c r="J1455" t="str">
        <f>"01 45 78 36 00 "</f>
        <v xml:space="preserve">01 45 78 36 00 </v>
      </c>
      <c r="L1455" s="1">
        <v>43312</v>
      </c>
      <c r="M1455" t="str">
        <f t="shared" si="242"/>
        <v>124</v>
      </c>
      <c r="N1455" t="str">
        <f t="shared" si="243"/>
        <v>Centre de Santé</v>
      </c>
      <c r="O1455" t="str">
        <f>"60"</f>
        <v>60</v>
      </c>
      <c r="P1455" t="str">
        <f>"Association Loi 1901 non Reconnue d'Utilité Publique"</f>
        <v>Association Loi 1901 non Reconnue d'Utilité Publique</v>
      </c>
      <c r="Q1455" t="str">
        <f t="shared" ref="Q1455:Q1478" si="248">"36"</f>
        <v>36</v>
      </c>
      <c r="R1455" t="str">
        <f t="shared" ref="R1455:R1478" si="249">"Tarifs conventionnels assurance maladie"</f>
        <v>Tarifs conventionnels assurance maladie</v>
      </c>
      <c r="U1455" t="str">
        <f>"750062069"</f>
        <v>750062069</v>
      </c>
    </row>
    <row r="1456" spans="1:21" x14ac:dyDescent="0.3">
      <c r="A1456" t="str">
        <f>"2A0004107"</f>
        <v>2A0004107</v>
      </c>
      <c r="D1456" t="str">
        <f>"CENTRE DE SANTE DE BALEONE"</f>
        <v>CENTRE DE SANTE DE BALEONE</v>
      </c>
      <c r="E1456" t="str">
        <f>"ROND-POINT DE BALEONE"</f>
        <v>ROND-POINT DE BALEONE</v>
      </c>
      <c r="F1456" t="str">
        <f>"ROND POINT DE BALEONE"</f>
        <v>ROND POINT DE BALEONE</v>
      </c>
      <c r="G1456" t="str">
        <f>"EFFRICO 3"</f>
        <v>EFFRICO 3</v>
      </c>
      <c r="H1456" t="str">
        <f>"20167"</f>
        <v>20167</v>
      </c>
      <c r="I1456" t="str">
        <f>"AJACCIO"</f>
        <v>AJACCIO</v>
      </c>
      <c r="J1456" t="str">
        <f>"04 95 20 40 03 "</f>
        <v xml:space="preserve">04 95 20 40 03 </v>
      </c>
      <c r="L1456" s="1">
        <v>43311</v>
      </c>
      <c r="M1456" t="str">
        <f t="shared" si="242"/>
        <v>124</v>
      </c>
      <c r="N1456" t="str">
        <f t="shared" si="243"/>
        <v>Centre de Santé</v>
      </c>
      <c r="O1456" t="str">
        <f>"47"</f>
        <v>47</v>
      </c>
      <c r="P1456" t="str">
        <f>"Société Mutualiste"</f>
        <v>Société Mutualiste</v>
      </c>
      <c r="Q1456" t="str">
        <f t="shared" si="248"/>
        <v>36</v>
      </c>
      <c r="R1456" t="str">
        <f t="shared" si="249"/>
        <v>Tarifs conventionnels assurance maladie</v>
      </c>
      <c r="U1456" t="str">
        <f>"2A0001848"</f>
        <v>2A0001848</v>
      </c>
    </row>
    <row r="1457" spans="1:21" x14ac:dyDescent="0.3">
      <c r="A1457" t="str">
        <f>"920032869"</f>
        <v>920032869</v>
      </c>
      <c r="D1457" t="str">
        <f>"CDS TRAM D'ISSY"</f>
        <v>CDS TRAM D'ISSY</v>
      </c>
      <c r="F1457" t="str">
        <f>"3 RUE ARISTIDE BRIAND"</f>
        <v>3 RUE ARISTIDE BRIAND</v>
      </c>
      <c r="H1457" t="str">
        <f>"92130"</f>
        <v>92130</v>
      </c>
      <c r="I1457" t="str">
        <f>"ISSY LES MOULINEAUX"</f>
        <v>ISSY LES MOULINEAUX</v>
      </c>
      <c r="L1457" s="1">
        <v>43304</v>
      </c>
      <c r="M1457" t="str">
        <f t="shared" si="242"/>
        <v>124</v>
      </c>
      <c r="N1457" t="str">
        <f t="shared" si="243"/>
        <v>Centre de Santé</v>
      </c>
      <c r="O1457" t="str">
        <f>"60"</f>
        <v>60</v>
      </c>
      <c r="P1457" t="str">
        <f>"Association Loi 1901 non Reconnue d'Utilité Publique"</f>
        <v>Association Loi 1901 non Reconnue d'Utilité Publique</v>
      </c>
      <c r="Q1457" t="str">
        <f t="shared" si="248"/>
        <v>36</v>
      </c>
      <c r="R1457" t="str">
        <f t="shared" si="249"/>
        <v>Tarifs conventionnels assurance maladie</v>
      </c>
      <c r="U1457" t="str">
        <f>"750056392"</f>
        <v>750056392</v>
      </c>
    </row>
    <row r="1458" spans="1:21" x14ac:dyDescent="0.3">
      <c r="A1458" t="str">
        <f>"690044136"</f>
        <v>690044136</v>
      </c>
      <c r="B1458" t="str">
        <f>"838 845 683 00013"</f>
        <v>838 845 683 00013</v>
      </c>
      <c r="D1458" t="str">
        <f>"CENTRE DE SANTE DENT. LYON REPUBLIQUE"</f>
        <v>CENTRE DE SANTE DENT. LYON REPUBLIQUE</v>
      </c>
      <c r="F1458" t="str">
        <f>"55 RUE DE LA REPUBLIQUE"</f>
        <v>55 RUE DE LA REPUBLIQUE</v>
      </c>
      <c r="H1458" t="str">
        <f>"69002"</f>
        <v>69002</v>
      </c>
      <c r="I1458" t="str">
        <f>"LYON"</f>
        <v>LYON</v>
      </c>
      <c r="J1458" t="str">
        <f>"06 14 49 25 56 "</f>
        <v xml:space="preserve">06 14 49 25 56 </v>
      </c>
      <c r="L1458" s="1">
        <v>43293</v>
      </c>
      <c r="M1458" t="str">
        <f t="shared" si="242"/>
        <v>124</v>
      </c>
      <c r="N1458" t="str">
        <f t="shared" si="243"/>
        <v>Centre de Santé</v>
      </c>
      <c r="O1458" t="str">
        <f>"60"</f>
        <v>60</v>
      </c>
      <c r="P1458" t="str">
        <f>"Association Loi 1901 non Reconnue d'Utilité Publique"</f>
        <v>Association Loi 1901 non Reconnue d'Utilité Publique</v>
      </c>
      <c r="Q1458" t="str">
        <f t="shared" si="248"/>
        <v>36</v>
      </c>
      <c r="R1458" t="str">
        <f t="shared" si="249"/>
        <v>Tarifs conventionnels assurance maladie</v>
      </c>
      <c r="U1458" t="str">
        <f>"690044128"</f>
        <v>690044128</v>
      </c>
    </row>
    <row r="1459" spans="1:21" x14ac:dyDescent="0.3">
      <c r="A1459" t="str">
        <f>"750062002"</f>
        <v>750062002</v>
      </c>
      <c r="B1459" t="str">
        <f>"830 073 276 00081"</f>
        <v>830 073 276 00081</v>
      </c>
      <c r="D1459" t="str">
        <f>"CDS DENTAIRE BEAUGRENELLE"</f>
        <v>CDS DENTAIRE BEAUGRENELLE</v>
      </c>
      <c r="F1459" t="str">
        <f>"48 RUE DES ENTREPRENEURS"</f>
        <v>48 RUE DES ENTREPRENEURS</v>
      </c>
      <c r="H1459" t="str">
        <f>"75015"</f>
        <v>75015</v>
      </c>
      <c r="I1459" t="str">
        <f>"PARIS"</f>
        <v>PARIS</v>
      </c>
      <c r="J1459" t="str">
        <f>"01 86 90 19 80 "</f>
        <v xml:space="preserve">01 86 90 19 80 </v>
      </c>
      <c r="L1459" s="1">
        <v>43290</v>
      </c>
      <c r="M1459" t="str">
        <f t="shared" si="242"/>
        <v>124</v>
      </c>
      <c r="N1459" t="str">
        <f t="shared" si="243"/>
        <v>Centre de Santé</v>
      </c>
      <c r="O1459" t="str">
        <f>"60"</f>
        <v>60</v>
      </c>
      <c r="P1459" t="str">
        <f>"Association Loi 1901 non Reconnue d'Utilité Publique"</f>
        <v>Association Loi 1901 non Reconnue d'Utilité Publique</v>
      </c>
      <c r="Q1459" t="str">
        <f t="shared" si="248"/>
        <v>36</v>
      </c>
      <c r="R1459" t="str">
        <f t="shared" si="249"/>
        <v>Tarifs conventionnels assurance maladie</v>
      </c>
      <c r="U1459" t="str">
        <f>"750060345"</f>
        <v>750060345</v>
      </c>
    </row>
    <row r="1460" spans="1:21" x14ac:dyDescent="0.3">
      <c r="A1460" t="str">
        <f>"710015728"</f>
        <v>710015728</v>
      </c>
      <c r="D1460" t="str">
        <f>"CENTRE DE SANTE TERRITORIAL MONTCEAU"</f>
        <v>CENTRE DE SANTE TERRITORIAL MONTCEAU</v>
      </c>
      <c r="F1460" t="str">
        <f>"12 RUE DE BOURGOGNE"</f>
        <v>12 RUE DE BOURGOGNE</v>
      </c>
      <c r="H1460" t="str">
        <f>"71300"</f>
        <v>71300</v>
      </c>
      <c r="I1460" t="str">
        <f>"MONTCEAU LES MINES"</f>
        <v>MONTCEAU LES MINES</v>
      </c>
      <c r="L1460" s="1">
        <v>43283</v>
      </c>
      <c r="M1460" t="str">
        <f t="shared" si="242"/>
        <v>124</v>
      </c>
      <c r="N1460" t="str">
        <f t="shared" si="243"/>
        <v>Centre de Santé</v>
      </c>
      <c r="O1460" t="str">
        <f>"02"</f>
        <v>02</v>
      </c>
      <c r="P1460" t="str">
        <f>"Département"</f>
        <v>Département</v>
      </c>
      <c r="Q1460" t="str">
        <f t="shared" si="248"/>
        <v>36</v>
      </c>
      <c r="R1460" t="str">
        <f t="shared" si="249"/>
        <v>Tarifs conventionnels assurance maladie</v>
      </c>
      <c r="U1460" t="str">
        <f>"710015694"</f>
        <v>710015694</v>
      </c>
    </row>
    <row r="1461" spans="1:21" x14ac:dyDescent="0.3">
      <c r="A1461" t="str">
        <f>"690042858"</f>
        <v>690042858</v>
      </c>
      <c r="B1461" t="str">
        <f>"348 384 330 00034"</f>
        <v>348 384 330 00034</v>
      </c>
      <c r="D1461" t="str">
        <f>"CENTRE SANTE OBSTETRICAL EST LYONNAIS"</f>
        <v>CENTRE SANTE OBSTETRICAL EST LYONNAIS</v>
      </c>
      <c r="F1461" t="str">
        <f>"65 RUE DES CONTAMINES"</f>
        <v>65 RUE DES CONTAMINES</v>
      </c>
      <c r="H1461" t="str">
        <f>"69140"</f>
        <v>69140</v>
      </c>
      <c r="I1461" t="str">
        <f>"RILLIEUX LA PAPE"</f>
        <v>RILLIEUX LA PAPE</v>
      </c>
      <c r="J1461" t="str">
        <f>"04 72 07 38 43 "</f>
        <v xml:space="preserve">04 72 07 38 43 </v>
      </c>
      <c r="L1461" s="1">
        <v>43282</v>
      </c>
      <c r="M1461" t="str">
        <f t="shared" si="242"/>
        <v>124</v>
      </c>
      <c r="N1461" t="str">
        <f t="shared" si="243"/>
        <v>Centre de Santé</v>
      </c>
      <c r="O1461" t="str">
        <f>"95"</f>
        <v>95</v>
      </c>
      <c r="P1461" t="str">
        <f>"Société par Actions Simplifiée (S.A.S.)"</f>
        <v>Société par Actions Simplifiée (S.A.S.)</v>
      </c>
      <c r="Q1461" t="str">
        <f t="shared" si="248"/>
        <v>36</v>
      </c>
      <c r="R1461" t="str">
        <f t="shared" si="249"/>
        <v>Tarifs conventionnels assurance maladie</v>
      </c>
      <c r="U1461" t="str">
        <f>"690000732"</f>
        <v>690000732</v>
      </c>
    </row>
    <row r="1462" spans="1:21" x14ac:dyDescent="0.3">
      <c r="A1462" t="str">
        <f>"690044011"</f>
        <v>690044011</v>
      </c>
      <c r="B1462" t="str">
        <f>"835 370 917 00014"</f>
        <v>835 370 917 00014</v>
      </c>
      <c r="D1462" t="str">
        <f>"CENTRE DE SANTE DENTAIRE LYON GAMBETTA"</f>
        <v>CENTRE DE SANTE DENTAIRE LYON GAMBETTA</v>
      </c>
      <c r="F1462" t="str">
        <f>"60 COURS GAMBETTA"</f>
        <v>60 COURS GAMBETTA</v>
      </c>
      <c r="H1462" t="str">
        <f>"69007"</f>
        <v>69007</v>
      </c>
      <c r="I1462" t="str">
        <f>"LYON"</f>
        <v>LYON</v>
      </c>
      <c r="J1462" t="str">
        <f>"06 14 49 25 56 "</f>
        <v xml:space="preserve">06 14 49 25 56 </v>
      </c>
      <c r="L1462" s="1">
        <v>43276</v>
      </c>
      <c r="M1462" t="str">
        <f t="shared" si="242"/>
        <v>124</v>
      </c>
      <c r="N1462" t="str">
        <f t="shared" si="243"/>
        <v>Centre de Santé</v>
      </c>
      <c r="O1462" t="str">
        <f>"60"</f>
        <v>60</v>
      </c>
      <c r="P1462" t="str">
        <f>"Association Loi 1901 non Reconnue d'Utilité Publique"</f>
        <v>Association Loi 1901 non Reconnue d'Utilité Publique</v>
      </c>
      <c r="Q1462" t="str">
        <f t="shared" si="248"/>
        <v>36</v>
      </c>
      <c r="R1462" t="str">
        <f t="shared" si="249"/>
        <v>Tarifs conventionnels assurance maladie</v>
      </c>
      <c r="U1462" t="str">
        <f>"690044003"</f>
        <v>690044003</v>
      </c>
    </row>
    <row r="1463" spans="1:21" x14ac:dyDescent="0.3">
      <c r="A1463" t="str">
        <f>"750061970"</f>
        <v>750061970</v>
      </c>
      <c r="B1463" t="str">
        <f>"840 017 834 00010"</f>
        <v>840 017 834 00010</v>
      </c>
      <c r="D1463" t="str">
        <f>"CDS DENTAIRE A'DENT"</f>
        <v>CDS DENTAIRE A'DENT</v>
      </c>
      <c r="F1463" t="str">
        <f>"131 BOULEVARD VOLTAIRE"</f>
        <v>131 BOULEVARD VOLTAIRE</v>
      </c>
      <c r="H1463" t="str">
        <f>"75011"</f>
        <v>75011</v>
      </c>
      <c r="I1463" t="str">
        <f>"PARIS"</f>
        <v>PARIS</v>
      </c>
      <c r="J1463" t="str">
        <f>"01 84 77 08 70 "</f>
        <v xml:space="preserve">01 84 77 08 70 </v>
      </c>
      <c r="L1463" s="1">
        <v>43273</v>
      </c>
      <c r="M1463" t="str">
        <f t="shared" si="242"/>
        <v>124</v>
      </c>
      <c r="N1463" t="str">
        <f t="shared" si="243"/>
        <v>Centre de Santé</v>
      </c>
      <c r="O1463" t="str">
        <f>"61"</f>
        <v>61</v>
      </c>
      <c r="P1463" t="str">
        <f>"Association Loi 1901 Reconnue d'Utilité Publique"</f>
        <v>Association Loi 1901 Reconnue d'Utilité Publique</v>
      </c>
      <c r="Q1463" t="str">
        <f t="shared" si="248"/>
        <v>36</v>
      </c>
      <c r="R1463" t="str">
        <f t="shared" si="249"/>
        <v>Tarifs conventionnels assurance maladie</v>
      </c>
      <c r="U1463" t="str">
        <f>"750061848"</f>
        <v>750061848</v>
      </c>
    </row>
    <row r="1464" spans="1:21" x14ac:dyDescent="0.3">
      <c r="A1464" t="str">
        <f>"750061863"</f>
        <v>750061863</v>
      </c>
      <c r="B1464" t="str">
        <f>"831 531 363 00016"</f>
        <v>831 531 363 00016</v>
      </c>
      <c r="D1464" t="str">
        <f>"CDS MEDICAL ROSA PARKS"</f>
        <v>CDS MEDICAL ROSA PARKS</v>
      </c>
      <c r="F1464" t="str">
        <f>"9 PASSAGE SUSAN SONTAG"</f>
        <v>9 PASSAGE SUSAN SONTAG</v>
      </c>
      <c r="H1464" t="str">
        <f>"75019"</f>
        <v>75019</v>
      </c>
      <c r="I1464" t="str">
        <f>"PARIS"</f>
        <v>PARIS</v>
      </c>
      <c r="J1464" t="str">
        <f>"01 83 79 28 16 "</f>
        <v xml:space="preserve">01 83 79 28 16 </v>
      </c>
      <c r="L1464" s="1">
        <v>43270</v>
      </c>
      <c r="M1464" t="str">
        <f t="shared" si="242"/>
        <v>124</v>
      </c>
      <c r="N1464" t="str">
        <f t="shared" si="243"/>
        <v>Centre de Santé</v>
      </c>
      <c r="O1464" t="str">
        <f>"60"</f>
        <v>60</v>
      </c>
      <c r="P1464" t="str">
        <f>"Association Loi 1901 non Reconnue d'Utilité Publique"</f>
        <v>Association Loi 1901 non Reconnue d'Utilité Publique</v>
      </c>
      <c r="Q1464" t="str">
        <f t="shared" si="248"/>
        <v>36</v>
      </c>
      <c r="R1464" t="str">
        <f t="shared" si="249"/>
        <v>Tarifs conventionnels assurance maladie</v>
      </c>
      <c r="U1464" t="str">
        <f>"920032588"</f>
        <v>920032588</v>
      </c>
    </row>
    <row r="1465" spans="1:21" x14ac:dyDescent="0.3">
      <c r="A1465" t="str">
        <f>"950044107"</f>
        <v>950044107</v>
      </c>
      <c r="B1465" t="str">
        <f>"838 143 972 00019"</f>
        <v>838 143 972 00019</v>
      </c>
      <c r="D1465" t="str">
        <f>"CDS DENTAIRE ET ORTHODONTIQUE"</f>
        <v>CDS DENTAIRE ET ORTHODONTIQUE</v>
      </c>
      <c r="F1465" t="str">
        <f>"52 BOULEVARD CLEMENCEAU"</f>
        <v>52 BOULEVARD CLEMENCEAU</v>
      </c>
      <c r="H1465" t="str">
        <f>"95240"</f>
        <v>95240</v>
      </c>
      <c r="I1465" t="str">
        <f>"CORMEILLES EN PARISIS"</f>
        <v>CORMEILLES EN PARISIS</v>
      </c>
      <c r="L1465" s="1">
        <v>43270</v>
      </c>
      <c r="M1465" t="str">
        <f t="shared" si="242"/>
        <v>124</v>
      </c>
      <c r="N1465" t="str">
        <f t="shared" si="243"/>
        <v>Centre de Santé</v>
      </c>
      <c r="O1465" t="str">
        <f>"60"</f>
        <v>60</v>
      </c>
      <c r="P1465" t="str">
        <f>"Association Loi 1901 non Reconnue d'Utilité Publique"</f>
        <v>Association Loi 1901 non Reconnue d'Utilité Publique</v>
      </c>
      <c r="Q1465" t="str">
        <f t="shared" si="248"/>
        <v>36</v>
      </c>
      <c r="R1465" t="str">
        <f t="shared" si="249"/>
        <v>Tarifs conventionnels assurance maladie</v>
      </c>
      <c r="U1465" t="str">
        <f>"950044008"</f>
        <v>950044008</v>
      </c>
    </row>
    <row r="1466" spans="1:21" x14ac:dyDescent="0.3">
      <c r="A1466" t="str">
        <f>"690043450"</f>
        <v>690043450</v>
      </c>
      <c r="B1466" t="str">
        <f>"810 995 852 00052"</f>
        <v>810 995 852 00052</v>
      </c>
      <c r="D1466" t="str">
        <f>"CENTRE DE SANTE DENTASMILE"</f>
        <v>CENTRE DE SANTE DENTASMILE</v>
      </c>
      <c r="F1466" t="str">
        <f>"23 RUE DE MARSEILLE"</f>
        <v>23 RUE DE MARSEILLE</v>
      </c>
      <c r="H1466" t="str">
        <f>"69007"</f>
        <v>69007</v>
      </c>
      <c r="I1466" t="str">
        <f>"LYON"</f>
        <v>LYON</v>
      </c>
      <c r="L1466" s="1">
        <v>43262</v>
      </c>
      <c r="M1466" t="str">
        <f t="shared" si="242"/>
        <v>124</v>
      </c>
      <c r="N1466" t="str">
        <f t="shared" si="243"/>
        <v>Centre de Santé</v>
      </c>
      <c r="O1466" t="str">
        <f>"60"</f>
        <v>60</v>
      </c>
      <c r="P1466" t="str">
        <f>"Association Loi 1901 non Reconnue d'Utilité Publique"</f>
        <v>Association Loi 1901 non Reconnue d'Utilité Publique</v>
      </c>
      <c r="Q1466" t="str">
        <f t="shared" si="248"/>
        <v>36</v>
      </c>
      <c r="R1466" t="str">
        <f t="shared" si="249"/>
        <v>Tarifs conventionnels assurance maladie</v>
      </c>
      <c r="U1466" t="str">
        <f>"750057440"</f>
        <v>750057440</v>
      </c>
    </row>
    <row r="1467" spans="1:21" x14ac:dyDescent="0.3">
      <c r="A1467" t="str">
        <f>"890009699"</f>
        <v>890009699</v>
      </c>
      <c r="B1467" t="str">
        <f>"218 901 957 00108"</f>
        <v>218 901 957 00108</v>
      </c>
      <c r="D1467" t="str">
        <f>"CENTRE DE SANTE"</f>
        <v>CENTRE DE SANTE</v>
      </c>
      <c r="F1467" t="str">
        <f>"7 GRANDE RUE"</f>
        <v>7 GRANDE RUE</v>
      </c>
      <c r="H1467" t="str">
        <f>"89100"</f>
        <v>89100</v>
      </c>
      <c r="I1467" t="str">
        <f>"GRON"</f>
        <v>GRON</v>
      </c>
      <c r="L1467" s="1">
        <v>43259</v>
      </c>
      <c r="M1467" t="str">
        <f t="shared" si="242"/>
        <v>124</v>
      </c>
      <c r="N1467" t="str">
        <f t="shared" si="243"/>
        <v>Centre de Santé</v>
      </c>
      <c r="O1467" t="str">
        <f>"03"</f>
        <v>03</v>
      </c>
      <c r="P1467" t="str">
        <f>"Commune"</f>
        <v>Commune</v>
      </c>
      <c r="Q1467" t="str">
        <f t="shared" si="248"/>
        <v>36</v>
      </c>
      <c r="R1467" t="str">
        <f t="shared" si="249"/>
        <v>Tarifs conventionnels assurance maladie</v>
      </c>
      <c r="U1467" t="str">
        <f>"890009681"</f>
        <v>890009681</v>
      </c>
    </row>
    <row r="1468" spans="1:21" x14ac:dyDescent="0.3">
      <c r="A1468" t="str">
        <f>"440055739"</f>
        <v>440055739</v>
      </c>
      <c r="B1468" t="str">
        <f>"310 472 121 00022"</f>
        <v>310 472 121 00022</v>
      </c>
      <c r="D1468" t="str">
        <f>"CENTRE DE SANTE INFIRMIERS"</f>
        <v>CENTRE DE SANTE INFIRMIERS</v>
      </c>
      <c r="E1468" t="str">
        <f>"ESPACE SANTE LES OLIVIERS"</f>
        <v>ESPACE SANTE LES OLIVIERS</v>
      </c>
      <c r="F1468" t="str">
        <f>"277 RUE DU CLOS MARTIN"</f>
        <v>277 RUE DU CLOS MARTIN</v>
      </c>
      <c r="G1468" t="str">
        <f>"SAINT-GEREON"</f>
        <v>SAINT-GEREON</v>
      </c>
      <c r="H1468" t="str">
        <f>"44150"</f>
        <v>44150</v>
      </c>
      <c r="I1468" t="str">
        <f>"ANCENIS ST GEREON"</f>
        <v>ANCENIS ST GEREON</v>
      </c>
      <c r="J1468" t="str">
        <f>"02 40 83 02 98 "</f>
        <v xml:space="preserve">02 40 83 02 98 </v>
      </c>
      <c r="L1468" s="1">
        <v>43257</v>
      </c>
      <c r="M1468" t="str">
        <f t="shared" si="242"/>
        <v>124</v>
      </c>
      <c r="N1468" t="str">
        <f t="shared" si="243"/>
        <v>Centre de Santé</v>
      </c>
      <c r="O1468" t="str">
        <f t="shared" ref="O1468:O1473" si="250">"60"</f>
        <v>60</v>
      </c>
      <c r="P1468" t="str">
        <f t="shared" ref="P1468:P1473" si="251">"Association Loi 1901 non Reconnue d'Utilité Publique"</f>
        <v>Association Loi 1901 non Reconnue d'Utilité Publique</v>
      </c>
      <c r="Q1468" t="str">
        <f t="shared" si="248"/>
        <v>36</v>
      </c>
      <c r="R1468" t="str">
        <f t="shared" si="249"/>
        <v>Tarifs conventionnels assurance maladie</v>
      </c>
      <c r="U1468" t="str">
        <f>"440003499"</f>
        <v>440003499</v>
      </c>
    </row>
    <row r="1469" spans="1:21" x14ac:dyDescent="0.3">
      <c r="A1469" t="str">
        <f>"750061731"</f>
        <v>750061731</v>
      </c>
      <c r="D1469" t="str">
        <f>"CDS DENTAIRE LECOURBE"</f>
        <v>CDS DENTAIRE LECOURBE</v>
      </c>
      <c r="F1469" t="str">
        <f>"42 RUE LECOURBE"</f>
        <v>42 RUE LECOURBE</v>
      </c>
      <c r="H1469" t="str">
        <f>"75015"</f>
        <v>75015</v>
      </c>
      <c r="I1469" t="str">
        <f>"PARIS"</f>
        <v>PARIS</v>
      </c>
      <c r="L1469" s="1">
        <v>43255</v>
      </c>
      <c r="M1469" t="str">
        <f t="shared" si="242"/>
        <v>124</v>
      </c>
      <c r="N1469" t="str">
        <f t="shared" si="243"/>
        <v>Centre de Santé</v>
      </c>
      <c r="O1469" t="str">
        <f t="shared" si="250"/>
        <v>60</v>
      </c>
      <c r="P1469" t="str">
        <f t="shared" si="251"/>
        <v>Association Loi 1901 non Reconnue d'Utilité Publique</v>
      </c>
      <c r="Q1469" t="str">
        <f t="shared" si="248"/>
        <v>36</v>
      </c>
      <c r="R1469" t="str">
        <f t="shared" si="249"/>
        <v>Tarifs conventionnels assurance maladie</v>
      </c>
      <c r="U1469" t="str">
        <f>"750061699"</f>
        <v>750061699</v>
      </c>
    </row>
    <row r="1470" spans="1:21" x14ac:dyDescent="0.3">
      <c r="A1470" t="str">
        <f>"950044016"</f>
        <v>950044016</v>
      </c>
      <c r="B1470" t="str">
        <f>"839 236 734 00027"</f>
        <v>839 236 734 00027</v>
      </c>
      <c r="D1470" t="str">
        <f>"CDS DENTAIRE ERMONT EAUBONNE"</f>
        <v>CDS DENTAIRE ERMONT EAUBONNE</v>
      </c>
      <c r="F1470" t="str">
        <f>"52 RUE DE STALINGRAD"</f>
        <v>52 RUE DE STALINGRAD</v>
      </c>
      <c r="H1470" t="str">
        <f>"95120"</f>
        <v>95120</v>
      </c>
      <c r="I1470" t="str">
        <f>"ERMONT"</f>
        <v>ERMONT</v>
      </c>
      <c r="J1470" t="str">
        <f>"07 85 30 53 44 "</f>
        <v xml:space="preserve">07 85 30 53 44 </v>
      </c>
      <c r="L1470" s="1">
        <v>43255</v>
      </c>
      <c r="M1470" t="str">
        <f t="shared" si="242"/>
        <v>124</v>
      </c>
      <c r="N1470" t="str">
        <f t="shared" si="243"/>
        <v>Centre de Santé</v>
      </c>
      <c r="O1470" t="str">
        <f t="shared" si="250"/>
        <v>60</v>
      </c>
      <c r="P1470" t="str">
        <f t="shared" si="251"/>
        <v>Association Loi 1901 non Reconnue d'Utilité Publique</v>
      </c>
      <c r="Q1470" t="str">
        <f t="shared" si="248"/>
        <v>36</v>
      </c>
      <c r="R1470" t="str">
        <f t="shared" si="249"/>
        <v>Tarifs conventionnels assurance maladie</v>
      </c>
      <c r="U1470" t="str">
        <f>"950045310"</f>
        <v>950045310</v>
      </c>
    </row>
    <row r="1471" spans="1:21" x14ac:dyDescent="0.3">
      <c r="A1471" t="str">
        <f>"750061715"</f>
        <v>750061715</v>
      </c>
      <c r="B1471" t="str">
        <f>"837 527 571 00017"</f>
        <v>837 527 571 00017</v>
      </c>
      <c r="D1471" t="str">
        <f>"CDS DENTAIRE BASTILLE DAUMESNIL"</f>
        <v>CDS DENTAIRE BASTILLE DAUMESNIL</v>
      </c>
      <c r="F1471" t="str">
        <f>"120 AVENUE DAUMESNIL"</f>
        <v>120 AVENUE DAUMESNIL</v>
      </c>
      <c r="H1471" t="str">
        <f>"75012"</f>
        <v>75012</v>
      </c>
      <c r="I1471" t="str">
        <f>"PARIS"</f>
        <v>PARIS</v>
      </c>
      <c r="L1471" s="1">
        <v>43250</v>
      </c>
      <c r="M1471" t="str">
        <f t="shared" si="242"/>
        <v>124</v>
      </c>
      <c r="N1471" t="str">
        <f t="shared" si="243"/>
        <v>Centre de Santé</v>
      </c>
      <c r="O1471" t="str">
        <f t="shared" si="250"/>
        <v>60</v>
      </c>
      <c r="P1471" t="str">
        <f t="shared" si="251"/>
        <v>Association Loi 1901 non Reconnue d'Utilité Publique</v>
      </c>
      <c r="Q1471" t="str">
        <f t="shared" si="248"/>
        <v>36</v>
      </c>
      <c r="R1471" t="str">
        <f t="shared" si="249"/>
        <v>Tarifs conventionnels assurance maladie</v>
      </c>
      <c r="U1471" t="str">
        <f>"750063257"</f>
        <v>750063257</v>
      </c>
    </row>
    <row r="1472" spans="1:21" x14ac:dyDescent="0.3">
      <c r="A1472" t="str">
        <f>"060025772"</f>
        <v>060025772</v>
      </c>
      <c r="B1472" t="str">
        <f>"839 265 956 00012"</f>
        <v>839 265 956 00012</v>
      </c>
      <c r="D1472" t="str">
        <f>"CDS DENTAIRE DENT'AZUR"</f>
        <v>CDS DENTAIRE DENT'AZUR</v>
      </c>
      <c r="F1472" t="str">
        <f>"101 AVENUE FRANCIS TONNER"</f>
        <v>101 AVENUE FRANCIS TONNER</v>
      </c>
      <c r="H1472" t="str">
        <f>"06151"</f>
        <v>06151</v>
      </c>
      <c r="I1472" t="str">
        <f>"CANNES LA BOCCA CEDEX"</f>
        <v>CANNES LA BOCCA CEDEX</v>
      </c>
      <c r="J1472" t="str">
        <f>"06 61 16 62 62 "</f>
        <v xml:space="preserve">06 61 16 62 62 </v>
      </c>
      <c r="L1472" s="1">
        <v>43249</v>
      </c>
      <c r="M1472" t="str">
        <f t="shared" si="242"/>
        <v>124</v>
      </c>
      <c r="N1472" t="str">
        <f t="shared" si="243"/>
        <v>Centre de Santé</v>
      </c>
      <c r="O1472" t="str">
        <f t="shared" si="250"/>
        <v>60</v>
      </c>
      <c r="P1472" t="str">
        <f t="shared" si="251"/>
        <v>Association Loi 1901 non Reconnue d'Utilité Publique</v>
      </c>
      <c r="Q1472" t="str">
        <f t="shared" si="248"/>
        <v>36</v>
      </c>
      <c r="R1472" t="str">
        <f t="shared" si="249"/>
        <v>Tarifs conventionnels assurance maladie</v>
      </c>
      <c r="U1472" t="str">
        <f>"060025764"</f>
        <v>060025764</v>
      </c>
    </row>
    <row r="1473" spans="1:21" x14ac:dyDescent="0.3">
      <c r="A1473" t="str">
        <f>"330059999"</f>
        <v>330059999</v>
      </c>
      <c r="B1473" t="str">
        <f>"837 983 907 00010"</f>
        <v>837 983 907 00010</v>
      </c>
      <c r="D1473" t="str">
        <f>"CENTRE DE SANTE INFIRMIERS ROMUALD"</f>
        <v>CENTRE DE SANTE INFIRMIERS ROMUALD</v>
      </c>
      <c r="E1473" t="str">
        <f>"IMMEUBLE LE FRANCE - C108"</f>
        <v>IMMEUBLE LE FRANCE - C108</v>
      </c>
      <c r="F1473" t="str">
        <f>"9 RUE MONTGOLFIER"</f>
        <v>9 RUE MONTGOLFIER</v>
      </c>
      <c r="H1473" t="str">
        <f>"33700"</f>
        <v>33700</v>
      </c>
      <c r="I1473" t="str">
        <f>"MERIGNAC"</f>
        <v>MERIGNAC</v>
      </c>
      <c r="J1473" t="str">
        <f>"06 49 73 30 67 "</f>
        <v xml:space="preserve">06 49 73 30 67 </v>
      </c>
      <c r="L1473" s="1">
        <v>43249</v>
      </c>
      <c r="M1473" t="str">
        <f t="shared" si="242"/>
        <v>124</v>
      </c>
      <c r="N1473" t="str">
        <f t="shared" si="243"/>
        <v>Centre de Santé</v>
      </c>
      <c r="O1473" t="str">
        <f t="shared" si="250"/>
        <v>60</v>
      </c>
      <c r="P1473" t="str">
        <f t="shared" si="251"/>
        <v>Association Loi 1901 non Reconnue d'Utilité Publique</v>
      </c>
      <c r="Q1473" t="str">
        <f t="shared" si="248"/>
        <v>36</v>
      </c>
      <c r="R1473" t="str">
        <f t="shared" si="249"/>
        <v>Tarifs conventionnels assurance maladie</v>
      </c>
      <c r="U1473" t="str">
        <f>"330059981"</f>
        <v>330059981</v>
      </c>
    </row>
    <row r="1474" spans="1:21" x14ac:dyDescent="0.3">
      <c r="A1474" t="str">
        <f>"590060281"</f>
        <v>590060281</v>
      </c>
      <c r="B1474" t="str">
        <f>"835 369 539 00019"</f>
        <v>835 369 539 00019</v>
      </c>
      <c r="D1474" t="str">
        <f>"CS DENTAIRE ROUBAIX"</f>
        <v>CS DENTAIRE ROUBAIX</v>
      </c>
      <c r="F1474" t="str">
        <f>"21 GRAND RUE"</f>
        <v>21 GRAND RUE</v>
      </c>
      <c r="H1474" t="str">
        <f>"59100"</f>
        <v>59100</v>
      </c>
      <c r="I1474" t="str">
        <f>"ROUBAIX"</f>
        <v>ROUBAIX</v>
      </c>
      <c r="J1474" t="str">
        <f>"06 88 40 95 35 "</f>
        <v xml:space="preserve">06 88 40 95 35 </v>
      </c>
      <c r="L1474" s="1">
        <v>43248</v>
      </c>
      <c r="M1474" t="str">
        <f t="shared" ref="M1474:M1537" si="252">"124"</f>
        <v>124</v>
      </c>
      <c r="N1474" t="str">
        <f t="shared" ref="N1474:N1537" si="253">"Centre de Santé"</f>
        <v>Centre de Santé</v>
      </c>
      <c r="O1474" t="str">
        <f>"61"</f>
        <v>61</v>
      </c>
      <c r="P1474" t="str">
        <f>"Association Loi 1901 Reconnue d'Utilité Publique"</f>
        <v>Association Loi 1901 Reconnue d'Utilité Publique</v>
      </c>
      <c r="Q1474" t="str">
        <f t="shared" si="248"/>
        <v>36</v>
      </c>
      <c r="R1474" t="str">
        <f t="shared" si="249"/>
        <v>Tarifs conventionnels assurance maladie</v>
      </c>
      <c r="U1474" t="str">
        <f>"590060273"</f>
        <v>590060273</v>
      </c>
    </row>
    <row r="1475" spans="1:21" x14ac:dyDescent="0.3">
      <c r="A1475" t="str">
        <f>"590060307"</f>
        <v>590060307</v>
      </c>
      <c r="B1475" t="str">
        <f>"835 222 936 00014"</f>
        <v>835 222 936 00014</v>
      </c>
      <c r="D1475" t="str">
        <f>"CS DENTAIRE TOURCOING"</f>
        <v>CS DENTAIRE TOURCOING</v>
      </c>
      <c r="F1475" t="str">
        <f>"1 GRAND PLACE"</f>
        <v>1 GRAND PLACE</v>
      </c>
      <c r="H1475" t="str">
        <f>"59200"</f>
        <v>59200</v>
      </c>
      <c r="I1475" t="str">
        <f>"TOURCOING"</f>
        <v>TOURCOING</v>
      </c>
      <c r="L1475" s="1">
        <v>43248</v>
      </c>
      <c r="M1475" t="str">
        <f t="shared" si="252"/>
        <v>124</v>
      </c>
      <c r="N1475" t="str">
        <f t="shared" si="253"/>
        <v>Centre de Santé</v>
      </c>
      <c r="O1475" t="str">
        <f>"61"</f>
        <v>61</v>
      </c>
      <c r="P1475" t="str">
        <f>"Association Loi 1901 Reconnue d'Utilité Publique"</f>
        <v>Association Loi 1901 Reconnue d'Utilité Publique</v>
      </c>
      <c r="Q1475" t="str">
        <f t="shared" si="248"/>
        <v>36</v>
      </c>
      <c r="R1475" t="str">
        <f t="shared" si="249"/>
        <v>Tarifs conventionnels assurance maladie</v>
      </c>
      <c r="U1475" t="str">
        <f>"590060299"</f>
        <v>590060299</v>
      </c>
    </row>
    <row r="1476" spans="1:21" x14ac:dyDescent="0.3">
      <c r="A1476" t="str">
        <f>"940024276"</f>
        <v>940024276</v>
      </c>
      <c r="B1476" t="str">
        <f>"839 165 727 00018"</f>
        <v>839 165 727 00018</v>
      </c>
      <c r="D1476" t="str">
        <f>"CDS DENTAIRE DE VINCENNES"</f>
        <v>CDS DENTAIRE DE VINCENNES</v>
      </c>
      <c r="F1476" t="str">
        <f>"144 AVENUE DE PARIS"</f>
        <v>144 AVENUE DE PARIS</v>
      </c>
      <c r="H1476" t="str">
        <f>"94300"</f>
        <v>94300</v>
      </c>
      <c r="I1476" t="str">
        <f>"VINCENNES"</f>
        <v>VINCENNES</v>
      </c>
      <c r="L1476" s="1">
        <v>43244</v>
      </c>
      <c r="M1476" t="str">
        <f t="shared" si="252"/>
        <v>124</v>
      </c>
      <c r="N1476" t="str">
        <f t="shared" si="253"/>
        <v>Centre de Santé</v>
      </c>
      <c r="O1476" t="str">
        <f>"61"</f>
        <v>61</v>
      </c>
      <c r="P1476" t="str">
        <f>"Association Loi 1901 Reconnue d'Utilité Publique"</f>
        <v>Association Loi 1901 Reconnue d'Utilité Publique</v>
      </c>
      <c r="Q1476" t="str">
        <f t="shared" si="248"/>
        <v>36</v>
      </c>
      <c r="R1476" t="str">
        <f t="shared" si="249"/>
        <v>Tarifs conventionnels assurance maladie</v>
      </c>
      <c r="U1476" t="str">
        <f>"940024177"</f>
        <v>940024177</v>
      </c>
    </row>
    <row r="1477" spans="1:21" x14ac:dyDescent="0.3">
      <c r="A1477" t="str">
        <f>"720021054"</f>
        <v>720021054</v>
      </c>
      <c r="D1477" t="str">
        <f>"CENTRE MUNICIPAL DE SANTE"</f>
        <v>CENTRE MUNICIPAL DE SANTE</v>
      </c>
      <c r="F1477" t="str">
        <f>"9 BOULEVARD WINSTON CHURCHILL"</f>
        <v>9 BOULEVARD WINSTON CHURCHILL</v>
      </c>
      <c r="H1477" t="str">
        <f>"72000"</f>
        <v>72000</v>
      </c>
      <c r="I1477" t="str">
        <f>"LE MANS"</f>
        <v>LE MANS</v>
      </c>
      <c r="J1477" t="str">
        <f>"02 43 47 49 49 "</f>
        <v xml:space="preserve">02 43 47 49 49 </v>
      </c>
      <c r="L1477" s="1">
        <v>43243</v>
      </c>
      <c r="M1477" t="str">
        <f t="shared" si="252"/>
        <v>124</v>
      </c>
      <c r="N1477" t="str">
        <f t="shared" si="253"/>
        <v>Centre de Santé</v>
      </c>
      <c r="O1477" t="str">
        <f>"03"</f>
        <v>03</v>
      </c>
      <c r="P1477" t="str">
        <f>"Commune"</f>
        <v>Commune</v>
      </c>
      <c r="Q1477" t="str">
        <f t="shared" si="248"/>
        <v>36</v>
      </c>
      <c r="R1477" t="str">
        <f t="shared" si="249"/>
        <v>Tarifs conventionnels assurance maladie</v>
      </c>
      <c r="U1477" t="str">
        <f>"720021047"</f>
        <v>720021047</v>
      </c>
    </row>
    <row r="1478" spans="1:21" x14ac:dyDescent="0.3">
      <c r="A1478" t="str">
        <f>"250020559"</f>
        <v>250020559</v>
      </c>
      <c r="B1478" t="str">
        <f>"509 168 480 00085"</f>
        <v>509 168 480 00085</v>
      </c>
      <c r="D1478" t="str">
        <f>"CENTRE MEDICAL HERIMONCOURT"</f>
        <v>CENTRE MEDICAL HERIMONCOURT</v>
      </c>
      <c r="F1478" t="str">
        <f>"8 RUE PIERRE PEUGEOT"</f>
        <v>8 RUE PIERRE PEUGEOT</v>
      </c>
      <c r="H1478" t="str">
        <f>"25310"</f>
        <v>25310</v>
      </c>
      <c r="I1478" t="str">
        <f>"HERIMONCOURT"</f>
        <v>HERIMONCOURT</v>
      </c>
      <c r="L1478" s="1">
        <v>43238</v>
      </c>
      <c r="M1478" t="str">
        <f t="shared" si="252"/>
        <v>124</v>
      </c>
      <c r="N1478" t="str">
        <f t="shared" si="253"/>
        <v>Centre de Santé</v>
      </c>
      <c r="O1478" t="str">
        <f>"62"</f>
        <v>62</v>
      </c>
      <c r="P1478" t="str">
        <f>"Association de Droit Local"</f>
        <v>Association de Droit Local</v>
      </c>
      <c r="Q1478" t="str">
        <f t="shared" si="248"/>
        <v>36</v>
      </c>
      <c r="R1478" t="str">
        <f t="shared" si="249"/>
        <v>Tarifs conventionnels assurance maladie</v>
      </c>
      <c r="U1478" t="str">
        <f>"680018199"</f>
        <v>680018199</v>
      </c>
    </row>
    <row r="1479" spans="1:21" x14ac:dyDescent="0.3">
      <c r="A1479" t="str">
        <f>"370013997"</f>
        <v>370013997</v>
      </c>
      <c r="B1479" t="str">
        <f>"193 708 005 00478"</f>
        <v>193 708 005 00478</v>
      </c>
      <c r="D1479" t="str">
        <f>"SSU- SERVICE DE SANTE UNIVERSITAIRE"</f>
        <v>SSU- SERVICE DE SANTE UNIVERSITAIRE</v>
      </c>
      <c r="E1479" t="str">
        <f>"UNIVERSITE TOURS"</f>
        <v>UNIVERSITE TOURS</v>
      </c>
      <c r="F1479" t="str">
        <f>"60 RUE DU PLAT D'ETAIN"</f>
        <v>60 RUE DU PLAT D'ETAIN</v>
      </c>
      <c r="H1479" t="str">
        <f>"37000"</f>
        <v>37000</v>
      </c>
      <c r="I1479" t="str">
        <f>"TOURS"</f>
        <v>TOURS</v>
      </c>
      <c r="J1479" t="str">
        <f>"02 47 36 77 00 "</f>
        <v xml:space="preserve">02 47 36 77 00 </v>
      </c>
      <c r="L1479" s="1">
        <v>43238</v>
      </c>
      <c r="M1479" t="str">
        <f t="shared" si="252"/>
        <v>124</v>
      </c>
      <c r="N1479" t="str">
        <f t="shared" si="253"/>
        <v>Centre de Santé</v>
      </c>
      <c r="O1479" t="str">
        <f>"26"</f>
        <v>26</v>
      </c>
      <c r="P1479" t="str">
        <f>"Autre Etablissement Public à Caractère Administratif"</f>
        <v>Autre Etablissement Public à Caractère Administratif</v>
      </c>
      <c r="Q1479" t="str">
        <f>"99"</f>
        <v>99</v>
      </c>
      <c r="R1479" t="str">
        <f>"Indéterminé"</f>
        <v>Indéterminé</v>
      </c>
      <c r="U1479" t="str">
        <f>"370013989"</f>
        <v>370013989</v>
      </c>
    </row>
    <row r="1480" spans="1:21" x14ac:dyDescent="0.3">
      <c r="A1480" t="str">
        <f>"060025749"</f>
        <v>060025749</v>
      </c>
      <c r="B1480" t="str">
        <f>"831 450 374 00028"</f>
        <v>831 450 374 00028</v>
      </c>
      <c r="D1480" t="str">
        <f>"CDS DENTAIRE ANTIBES ETOILE"</f>
        <v>CDS DENTAIRE ANTIBES ETOILE</v>
      </c>
      <c r="F1480" t="str">
        <f>"11 AVENUE THIERS"</f>
        <v>11 AVENUE THIERS</v>
      </c>
      <c r="G1480" t="str">
        <f>"JUAN LES PINS"</f>
        <v>JUAN LES PINS</v>
      </c>
      <c r="H1480" t="str">
        <f>"06160"</f>
        <v>06160</v>
      </c>
      <c r="I1480" t="str">
        <f>"ANTIBES"</f>
        <v>ANTIBES</v>
      </c>
      <c r="J1480" t="str">
        <f>"06 50 84 43 47 "</f>
        <v xml:space="preserve">06 50 84 43 47 </v>
      </c>
      <c r="L1480" s="1">
        <v>43222</v>
      </c>
      <c r="M1480" t="str">
        <f t="shared" si="252"/>
        <v>124</v>
      </c>
      <c r="N1480" t="str">
        <f t="shared" si="253"/>
        <v>Centre de Santé</v>
      </c>
      <c r="O1480" t="str">
        <f>"60"</f>
        <v>60</v>
      </c>
      <c r="P1480" t="str">
        <f>"Association Loi 1901 non Reconnue d'Utilité Publique"</f>
        <v>Association Loi 1901 non Reconnue d'Utilité Publique</v>
      </c>
      <c r="Q1480" t="str">
        <f>"99"</f>
        <v>99</v>
      </c>
      <c r="R1480" t="str">
        <f>"Indéterminé"</f>
        <v>Indéterminé</v>
      </c>
      <c r="U1480" t="str">
        <f>"060025731"</f>
        <v>060025731</v>
      </c>
    </row>
    <row r="1481" spans="1:21" x14ac:dyDescent="0.3">
      <c r="A1481" t="str">
        <f>"130047467"</f>
        <v>130047467</v>
      </c>
      <c r="D1481" t="str">
        <f>"CDS CLINADENT SAKAKINI"</f>
        <v>CDS CLINADENT SAKAKINI</v>
      </c>
      <c r="F1481" t="str">
        <f>"92 BOULEVARD SAKAKINI"</f>
        <v>92 BOULEVARD SAKAKINI</v>
      </c>
      <c r="H1481" t="str">
        <f>"13005"</f>
        <v>13005</v>
      </c>
      <c r="I1481" t="str">
        <f>"MARSEILLE"</f>
        <v>MARSEILLE</v>
      </c>
      <c r="J1481" t="str">
        <f>"06 60 04 13 59 "</f>
        <v xml:space="preserve">06 60 04 13 59 </v>
      </c>
      <c r="L1481" s="1">
        <v>43222</v>
      </c>
      <c r="M1481" t="str">
        <f t="shared" si="252"/>
        <v>124</v>
      </c>
      <c r="N1481" t="str">
        <f t="shared" si="253"/>
        <v>Centre de Santé</v>
      </c>
      <c r="O1481" t="str">
        <f>"61"</f>
        <v>61</v>
      </c>
      <c r="P1481" t="str">
        <f>"Association Loi 1901 Reconnue d'Utilité Publique"</f>
        <v>Association Loi 1901 Reconnue d'Utilité Publique</v>
      </c>
      <c r="Q1481" t="str">
        <f>"99"</f>
        <v>99</v>
      </c>
      <c r="R1481" t="str">
        <f>"Indéterminé"</f>
        <v>Indéterminé</v>
      </c>
      <c r="U1481" t="str">
        <f>"130050628"</f>
        <v>130050628</v>
      </c>
    </row>
    <row r="1482" spans="1:21" x14ac:dyDescent="0.3">
      <c r="A1482" t="str">
        <f>"930028196"</f>
        <v>930028196</v>
      </c>
      <c r="D1482" t="str">
        <f>"CDS DENTAIRE BONDY - LES TILLEULS"</f>
        <v>CDS DENTAIRE BONDY - LES TILLEULS</v>
      </c>
      <c r="F1482" t="str">
        <f>"4 AVENUE HENRI VARAGNAT"</f>
        <v>4 AVENUE HENRI VARAGNAT</v>
      </c>
      <c r="H1482" t="str">
        <f>"93140"</f>
        <v>93140</v>
      </c>
      <c r="I1482" t="str">
        <f>"BONDY"</f>
        <v>BONDY</v>
      </c>
      <c r="J1482" t="str">
        <f>"06 40 32 01 03 "</f>
        <v xml:space="preserve">06 40 32 01 03 </v>
      </c>
      <c r="L1482" s="1">
        <v>43222</v>
      </c>
      <c r="M1482" t="str">
        <f t="shared" si="252"/>
        <v>124</v>
      </c>
      <c r="N1482" t="str">
        <f t="shared" si="253"/>
        <v>Centre de Santé</v>
      </c>
      <c r="O1482" t="str">
        <f>"60"</f>
        <v>60</v>
      </c>
      <c r="P1482" t="str">
        <f>"Association Loi 1901 non Reconnue d'Utilité Publique"</f>
        <v>Association Loi 1901 non Reconnue d'Utilité Publique</v>
      </c>
      <c r="Q1482" t="str">
        <f t="shared" ref="Q1482:Q1493" si="254">"36"</f>
        <v>36</v>
      </c>
      <c r="R1482" t="str">
        <f t="shared" ref="R1482:R1493" si="255">"Tarifs conventionnels assurance maladie"</f>
        <v>Tarifs conventionnels assurance maladie</v>
      </c>
      <c r="U1482" t="str">
        <f>"930028188"</f>
        <v>930028188</v>
      </c>
    </row>
    <row r="1483" spans="1:21" x14ac:dyDescent="0.3">
      <c r="A1483" t="str">
        <f>"440054732"</f>
        <v>440054732</v>
      </c>
      <c r="B1483" t="str">
        <f>"309 319 259 00086"</f>
        <v>309 319 259 00086</v>
      </c>
      <c r="D1483" t="str">
        <f>"CSI LES SORINIERES"</f>
        <v>CSI LES SORINIERES</v>
      </c>
      <c r="F1483" t="str">
        <f>"1 RUE DE L'ELAN"</f>
        <v>1 RUE DE L'ELAN</v>
      </c>
      <c r="G1483" t="str">
        <f>"CENTRE SOCIAL RAOUL DE GUIGNE"</f>
        <v>CENTRE SOCIAL RAOUL DE GUIGNE</v>
      </c>
      <c r="H1483" t="str">
        <f>"44840"</f>
        <v>44840</v>
      </c>
      <c r="I1483" t="str">
        <f>"LES SORINIERES"</f>
        <v>LES SORINIERES</v>
      </c>
      <c r="J1483" t="str">
        <f>"02 40 13 00 13 "</f>
        <v xml:space="preserve">02 40 13 00 13 </v>
      </c>
      <c r="L1483" s="1">
        <v>43221</v>
      </c>
      <c r="M1483" t="str">
        <f t="shared" si="252"/>
        <v>124</v>
      </c>
      <c r="N1483" t="str">
        <f t="shared" si="253"/>
        <v>Centre de Santé</v>
      </c>
      <c r="O1483" t="str">
        <f>"60"</f>
        <v>60</v>
      </c>
      <c r="P1483" t="str">
        <f>"Association Loi 1901 non Reconnue d'Utilité Publique"</f>
        <v>Association Loi 1901 non Reconnue d'Utilité Publique</v>
      </c>
      <c r="Q1483" t="str">
        <f t="shared" si="254"/>
        <v>36</v>
      </c>
      <c r="R1483" t="str">
        <f t="shared" si="255"/>
        <v>Tarifs conventionnels assurance maladie</v>
      </c>
      <c r="U1483" t="str">
        <f>"440003382"</f>
        <v>440003382</v>
      </c>
    </row>
    <row r="1484" spans="1:21" x14ac:dyDescent="0.3">
      <c r="A1484" t="str">
        <f>"210013074"</f>
        <v>210013074</v>
      </c>
      <c r="B1484" t="str">
        <f>"837 783 968 00014"</f>
        <v>837 783 968 00014</v>
      </c>
      <c r="D1484" t="str">
        <f>"CTRE SANTE INFIRMIERS AUXOIS SOINS"</f>
        <v>CTRE SANTE INFIRMIERS AUXOIS SOINS</v>
      </c>
      <c r="F1484" t="str">
        <f>"29 RUE DES EPERONS"</f>
        <v>29 RUE DES EPERONS</v>
      </c>
      <c r="H1484" t="str">
        <f>"21460"</f>
        <v>21460</v>
      </c>
      <c r="I1484" t="str">
        <f>"EPOISSES"</f>
        <v>EPOISSES</v>
      </c>
      <c r="L1484" s="1">
        <v>43216</v>
      </c>
      <c r="M1484" t="str">
        <f t="shared" si="252"/>
        <v>124</v>
      </c>
      <c r="N1484" t="str">
        <f t="shared" si="253"/>
        <v>Centre de Santé</v>
      </c>
      <c r="O1484" t="str">
        <f>"60"</f>
        <v>60</v>
      </c>
      <c r="P1484" t="str">
        <f>"Association Loi 1901 non Reconnue d'Utilité Publique"</f>
        <v>Association Loi 1901 non Reconnue d'Utilité Publique</v>
      </c>
      <c r="Q1484" t="str">
        <f t="shared" si="254"/>
        <v>36</v>
      </c>
      <c r="R1484" t="str">
        <f t="shared" si="255"/>
        <v>Tarifs conventionnels assurance maladie</v>
      </c>
      <c r="U1484" t="str">
        <f>"210013066"</f>
        <v>210013066</v>
      </c>
    </row>
    <row r="1485" spans="1:21" x14ac:dyDescent="0.3">
      <c r="A1485" t="str">
        <f>"390007854"</f>
        <v>390007854</v>
      </c>
      <c r="D1485" t="str">
        <f>"CENTRE DE SANTE MEDICAL"</f>
        <v>CENTRE DE SANTE MEDICAL</v>
      </c>
      <c r="F1485" t="str">
        <f>"210 RUE REGARD"</f>
        <v>210 RUE REGARD</v>
      </c>
      <c r="H1485" t="str">
        <f>"39000"</f>
        <v>39000</v>
      </c>
      <c r="I1485" t="str">
        <f>"LONS LE SAUNIER"</f>
        <v>LONS LE SAUNIER</v>
      </c>
      <c r="L1485" s="1">
        <v>43216</v>
      </c>
      <c r="M1485" t="str">
        <f t="shared" si="252"/>
        <v>124</v>
      </c>
      <c r="N1485" t="str">
        <f t="shared" si="253"/>
        <v>Centre de Santé</v>
      </c>
      <c r="O1485" t="str">
        <f>"47"</f>
        <v>47</v>
      </c>
      <c r="P1485" t="str">
        <f>"Société Mutualiste"</f>
        <v>Société Mutualiste</v>
      </c>
      <c r="Q1485" t="str">
        <f t="shared" si="254"/>
        <v>36</v>
      </c>
      <c r="R1485" t="str">
        <f t="shared" si="255"/>
        <v>Tarifs conventionnels assurance maladie</v>
      </c>
      <c r="U1485" t="str">
        <f>"390784007"</f>
        <v>390784007</v>
      </c>
    </row>
    <row r="1486" spans="1:21" x14ac:dyDescent="0.3">
      <c r="A1486" t="str">
        <f>"910022805"</f>
        <v>910022805</v>
      </c>
      <c r="B1486" t="str">
        <f>"824 330 286 00025"</f>
        <v>824 330 286 00025</v>
      </c>
      <c r="D1486" t="str">
        <f>"CDS DENTAIRE ASCDM"</f>
        <v>CDS DENTAIRE ASCDM</v>
      </c>
      <c r="E1486" t="str">
        <f>"CENTRE CIAL DU MOULIN DE VIRY"</f>
        <v>CENTRE CIAL DU MOULIN DE VIRY</v>
      </c>
      <c r="F1486" t="str">
        <f>"28 ROUTE DE GRIGNY"</f>
        <v>28 ROUTE DE GRIGNY</v>
      </c>
      <c r="H1486" t="str">
        <f>"91170"</f>
        <v>91170</v>
      </c>
      <c r="I1486" t="str">
        <f>"VIRY CHATILLON"</f>
        <v>VIRY CHATILLON</v>
      </c>
      <c r="J1486" t="str">
        <f>"06 72 47 72 70 "</f>
        <v xml:space="preserve">06 72 47 72 70 </v>
      </c>
      <c r="L1486" s="1">
        <v>43215</v>
      </c>
      <c r="M1486" t="str">
        <f t="shared" si="252"/>
        <v>124</v>
      </c>
      <c r="N1486" t="str">
        <f t="shared" si="253"/>
        <v>Centre de Santé</v>
      </c>
      <c r="O1486" t="str">
        <f>"60"</f>
        <v>60</v>
      </c>
      <c r="P1486" t="str">
        <f>"Association Loi 1901 non Reconnue d'Utilité Publique"</f>
        <v>Association Loi 1901 non Reconnue d'Utilité Publique</v>
      </c>
      <c r="Q1486" t="str">
        <f t="shared" si="254"/>
        <v>36</v>
      </c>
      <c r="R1486" t="str">
        <f t="shared" si="255"/>
        <v>Tarifs conventionnels assurance maladie</v>
      </c>
      <c r="U1486" t="str">
        <f>"910023019"</f>
        <v>910023019</v>
      </c>
    </row>
    <row r="1487" spans="1:21" x14ac:dyDescent="0.3">
      <c r="A1487" t="str">
        <f>"920032489"</f>
        <v>920032489</v>
      </c>
      <c r="B1487" t="str">
        <f>"838 545 887 00013"</f>
        <v>838 545 887 00013</v>
      </c>
      <c r="D1487" t="str">
        <f>"CDS MEDICO-DENTAIRE ISSY"</f>
        <v>CDS MEDICO-DENTAIRE ISSY</v>
      </c>
      <c r="F1487" t="str">
        <f>"32 RUE DU GOUVERNEUR GENERAL EBOUE"</f>
        <v>32 RUE DU GOUVERNEUR GENERAL EBOUE</v>
      </c>
      <c r="H1487" t="str">
        <f>"92130"</f>
        <v>92130</v>
      </c>
      <c r="I1487" t="str">
        <f>"ISSY LES MOULINEAUX"</f>
        <v>ISSY LES MOULINEAUX</v>
      </c>
      <c r="J1487" t="str">
        <f>"06 67 58 62 62 "</f>
        <v xml:space="preserve">06 67 58 62 62 </v>
      </c>
      <c r="L1487" s="1">
        <v>43215</v>
      </c>
      <c r="M1487" t="str">
        <f t="shared" si="252"/>
        <v>124</v>
      </c>
      <c r="N1487" t="str">
        <f t="shared" si="253"/>
        <v>Centre de Santé</v>
      </c>
      <c r="O1487" t="str">
        <f>"60"</f>
        <v>60</v>
      </c>
      <c r="P1487" t="str">
        <f>"Association Loi 1901 non Reconnue d'Utilité Publique"</f>
        <v>Association Loi 1901 non Reconnue d'Utilité Publique</v>
      </c>
      <c r="Q1487" t="str">
        <f t="shared" si="254"/>
        <v>36</v>
      </c>
      <c r="R1487" t="str">
        <f t="shared" si="255"/>
        <v>Tarifs conventionnels assurance maladie</v>
      </c>
      <c r="U1487" t="str">
        <f>"750061558"</f>
        <v>750061558</v>
      </c>
    </row>
    <row r="1488" spans="1:21" x14ac:dyDescent="0.3">
      <c r="A1488" t="str">
        <f>"420015513"</f>
        <v>420015513</v>
      </c>
      <c r="B1488" t="str">
        <f>"326 406 998 00236"</f>
        <v>326 406 998 00236</v>
      </c>
      <c r="D1488" t="str">
        <f>"CENTRE DE SANTE MFL ROANNE"</f>
        <v>CENTRE DE SANTE MFL ROANNE</v>
      </c>
      <c r="F1488" t="str">
        <f>"14 RUE ROGER SALENGRO"</f>
        <v>14 RUE ROGER SALENGRO</v>
      </c>
      <c r="H1488" t="str">
        <f>"42300"</f>
        <v>42300</v>
      </c>
      <c r="I1488" t="str">
        <f>"ROANNE"</f>
        <v>ROANNE</v>
      </c>
      <c r="J1488" t="str">
        <f>"04 77 59 59 19 "</f>
        <v xml:space="preserve">04 77 59 59 19 </v>
      </c>
      <c r="L1488" s="1">
        <v>43213</v>
      </c>
      <c r="M1488" t="str">
        <f t="shared" si="252"/>
        <v>124</v>
      </c>
      <c r="N1488" t="str">
        <f t="shared" si="253"/>
        <v>Centre de Santé</v>
      </c>
      <c r="O1488" t="str">
        <f>"47"</f>
        <v>47</v>
      </c>
      <c r="P1488" t="str">
        <f>"Société Mutualiste"</f>
        <v>Société Mutualiste</v>
      </c>
      <c r="Q1488" t="str">
        <f t="shared" si="254"/>
        <v>36</v>
      </c>
      <c r="R1488" t="str">
        <f t="shared" si="255"/>
        <v>Tarifs conventionnels assurance maladie</v>
      </c>
      <c r="U1488" t="str">
        <f>"420001596"</f>
        <v>420001596</v>
      </c>
    </row>
    <row r="1489" spans="1:21" x14ac:dyDescent="0.3">
      <c r="A1489" t="str">
        <f>"470016635"</f>
        <v>470016635</v>
      </c>
      <c r="B1489" t="str">
        <f>"839 021 888 00012"</f>
        <v>839 021 888 00012</v>
      </c>
      <c r="D1489" t="str">
        <f>"CDS DU BASSIN TONNEINQUAIS"</f>
        <v>CDS DU BASSIN TONNEINQUAIS</v>
      </c>
      <c r="F1489" t="str">
        <f>"RUE GEORGES CLEMENCEAU"</f>
        <v>RUE GEORGES CLEMENCEAU</v>
      </c>
      <c r="H1489" t="str">
        <f>"47400"</f>
        <v>47400</v>
      </c>
      <c r="I1489" t="str">
        <f>"TONNEINS"</f>
        <v>TONNEINS</v>
      </c>
      <c r="J1489" t="str">
        <f>"06 15 46 21 31 "</f>
        <v xml:space="preserve">06 15 46 21 31 </v>
      </c>
      <c r="L1489" s="1">
        <v>43213</v>
      </c>
      <c r="M1489" t="str">
        <f t="shared" si="252"/>
        <v>124</v>
      </c>
      <c r="N1489" t="str">
        <f t="shared" si="253"/>
        <v>Centre de Santé</v>
      </c>
      <c r="O1489" t="str">
        <f t="shared" ref="O1489:O1494" si="256">"60"</f>
        <v>60</v>
      </c>
      <c r="P1489" t="str">
        <f t="shared" ref="P1489:P1494" si="257">"Association Loi 1901 non Reconnue d'Utilité Publique"</f>
        <v>Association Loi 1901 non Reconnue d'Utilité Publique</v>
      </c>
      <c r="Q1489" t="str">
        <f t="shared" si="254"/>
        <v>36</v>
      </c>
      <c r="R1489" t="str">
        <f t="shared" si="255"/>
        <v>Tarifs conventionnels assurance maladie</v>
      </c>
      <c r="U1489" t="str">
        <f>"470016627"</f>
        <v>470016627</v>
      </c>
    </row>
    <row r="1490" spans="1:21" x14ac:dyDescent="0.3">
      <c r="A1490" t="str">
        <f>"750061582"</f>
        <v>750061582</v>
      </c>
      <c r="B1490" t="str">
        <f>"830 073 276 00065"</f>
        <v>830 073 276 00065</v>
      </c>
      <c r="D1490" t="str">
        <f>"CDS DENTAIRE PARIS CLICHY"</f>
        <v>CDS DENTAIRE PARIS CLICHY</v>
      </c>
      <c r="F1490" t="str">
        <f>"13 AVENUE DE CLICHY"</f>
        <v>13 AVENUE DE CLICHY</v>
      </c>
      <c r="H1490" t="str">
        <f>"75017"</f>
        <v>75017</v>
      </c>
      <c r="I1490" t="str">
        <f>"PARIS"</f>
        <v>PARIS</v>
      </c>
      <c r="J1490" t="str">
        <f>"01 86 90 21 21 "</f>
        <v xml:space="preserve">01 86 90 21 21 </v>
      </c>
      <c r="L1490" s="1">
        <v>43213</v>
      </c>
      <c r="M1490" t="str">
        <f t="shared" si="252"/>
        <v>124</v>
      </c>
      <c r="N1490" t="str">
        <f t="shared" si="253"/>
        <v>Centre de Santé</v>
      </c>
      <c r="O1490" t="str">
        <f t="shared" si="256"/>
        <v>60</v>
      </c>
      <c r="P1490" t="str">
        <f t="shared" si="257"/>
        <v>Association Loi 1901 non Reconnue d'Utilité Publique</v>
      </c>
      <c r="Q1490" t="str">
        <f t="shared" si="254"/>
        <v>36</v>
      </c>
      <c r="R1490" t="str">
        <f t="shared" si="255"/>
        <v>Tarifs conventionnels assurance maladie</v>
      </c>
      <c r="U1490" t="str">
        <f>"750060345"</f>
        <v>750060345</v>
      </c>
    </row>
    <row r="1491" spans="1:21" x14ac:dyDescent="0.3">
      <c r="A1491" t="str">
        <f>"750061590"</f>
        <v>750061590</v>
      </c>
      <c r="B1491" t="str">
        <f>"830 073 276 00073"</f>
        <v>830 073 276 00073</v>
      </c>
      <c r="D1491" t="str">
        <f>"CDS DENTAIRE PEREIRE"</f>
        <v>CDS DENTAIRE PEREIRE</v>
      </c>
      <c r="F1491" t="str">
        <f>"3 BOULEVARD PEREIRE"</f>
        <v>3 BOULEVARD PEREIRE</v>
      </c>
      <c r="H1491" t="str">
        <f>"75017"</f>
        <v>75017</v>
      </c>
      <c r="I1491" t="str">
        <f>"PARIS"</f>
        <v>PARIS</v>
      </c>
      <c r="J1491" t="str">
        <f>"01 86 90 21 25 "</f>
        <v xml:space="preserve">01 86 90 21 25 </v>
      </c>
      <c r="L1491" s="1">
        <v>43213</v>
      </c>
      <c r="M1491" t="str">
        <f t="shared" si="252"/>
        <v>124</v>
      </c>
      <c r="N1491" t="str">
        <f t="shared" si="253"/>
        <v>Centre de Santé</v>
      </c>
      <c r="O1491" t="str">
        <f t="shared" si="256"/>
        <v>60</v>
      </c>
      <c r="P1491" t="str">
        <f t="shared" si="257"/>
        <v>Association Loi 1901 non Reconnue d'Utilité Publique</v>
      </c>
      <c r="Q1491" t="str">
        <f t="shared" si="254"/>
        <v>36</v>
      </c>
      <c r="R1491" t="str">
        <f t="shared" si="255"/>
        <v>Tarifs conventionnels assurance maladie</v>
      </c>
      <c r="U1491" t="str">
        <f>"750060345"</f>
        <v>750060345</v>
      </c>
    </row>
    <row r="1492" spans="1:21" x14ac:dyDescent="0.3">
      <c r="A1492" t="str">
        <f>"750061533"</f>
        <v>750061533</v>
      </c>
      <c r="B1492" t="str">
        <f>"838 189 892 00014"</f>
        <v>838 189 892 00014</v>
      </c>
      <c r="D1492" t="str">
        <f>"CDS MEDICO-DENTAIRE NATION"</f>
        <v>CDS MEDICO-DENTAIRE NATION</v>
      </c>
      <c r="F1492" t="str">
        <f>"33 COURS DE VINCENNES"</f>
        <v>33 COURS DE VINCENNES</v>
      </c>
      <c r="H1492" t="str">
        <f>"75020"</f>
        <v>75020</v>
      </c>
      <c r="I1492" t="str">
        <f>"PARIS"</f>
        <v>PARIS</v>
      </c>
      <c r="L1492" s="1">
        <v>43209</v>
      </c>
      <c r="M1492" t="str">
        <f t="shared" si="252"/>
        <v>124</v>
      </c>
      <c r="N1492" t="str">
        <f t="shared" si="253"/>
        <v>Centre de Santé</v>
      </c>
      <c r="O1492" t="str">
        <f t="shared" si="256"/>
        <v>60</v>
      </c>
      <c r="P1492" t="str">
        <f t="shared" si="257"/>
        <v>Association Loi 1901 non Reconnue d'Utilité Publique</v>
      </c>
      <c r="Q1492" t="str">
        <f t="shared" si="254"/>
        <v>36</v>
      </c>
      <c r="R1492" t="str">
        <f t="shared" si="255"/>
        <v>Tarifs conventionnels assurance maladie</v>
      </c>
      <c r="U1492" t="str">
        <f>"750061517"</f>
        <v>750061517</v>
      </c>
    </row>
    <row r="1493" spans="1:21" x14ac:dyDescent="0.3">
      <c r="A1493" t="str">
        <f>"750061541"</f>
        <v>750061541</v>
      </c>
      <c r="B1493" t="str">
        <f>"824 842 496 00013"</f>
        <v>824 842 496 00013</v>
      </c>
      <c r="D1493" t="str">
        <f>"CDS OPHTALMOLOGIE FELIX FAURE"</f>
        <v>CDS OPHTALMOLOGIE FELIX FAURE</v>
      </c>
      <c r="F1493" t="str">
        <f>"128 AVENUE FELIX FAURE"</f>
        <v>128 AVENUE FELIX FAURE</v>
      </c>
      <c r="H1493" t="str">
        <f>"75015"</f>
        <v>75015</v>
      </c>
      <c r="I1493" t="str">
        <f>"PARIS"</f>
        <v>PARIS</v>
      </c>
      <c r="J1493" t="str">
        <f>"01 44 26 44 26 "</f>
        <v xml:space="preserve">01 44 26 44 26 </v>
      </c>
      <c r="L1493" s="1">
        <v>43209</v>
      </c>
      <c r="M1493" t="str">
        <f t="shared" si="252"/>
        <v>124</v>
      </c>
      <c r="N1493" t="str">
        <f t="shared" si="253"/>
        <v>Centre de Santé</v>
      </c>
      <c r="O1493" t="str">
        <f t="shared" si="256"/>
        <v>60</v>
      </c>
      <c r="P1493" t="str">
        <f t="shared" si="257"/>
        <v>Association Loi 1901 non Reconnue d'Utilité Publique</v>
      </c>
      <c r="Q1493" t="str">
        <f t="shared" si="254"/>
        <v>36</v>
      </c>
      <c r="R1493" t="str">
        <f t="shared" si="255"/>
        <v>Tarifs conventionnels assurance maladie</v>
      </c>
      <c r="U1493" t="str">
        <f>"750059719"</f>
        <v>750059719</v>
      </c>
    </row>
    <row r="1494" spans="1:21" x14ac:dyDescent="0.3">
      <c r="A1494" t="str">
        <f>"060025715"</f>
        <v>060025715</v>
      </c>
      <c r="B1494" t="str">
        <f>"837 494 228 00013"</f>
        <v>837 494 228 00013</v>
      </c>
      <c r="D1494" t="str">
        <f>"CDS DENTAIRE DENTEGO NICE GARIBALDI"</f>
        <v>CDS DENTAIRE DENTEGO NICE GARIBALDI</v>
      </c>
      <c r="F1494" t="str">
        <f>"10 PLACE GARIBALDI"</f>
        <v>10 PLACE GARIBALDI</v>
      </c>
      <c r="H1494" t="str">
        <f>"06300"</f>
        <v>06300</v>
      </c>
      <c r="I1494" t="str">
        <f>"NICE"</f>
        <v>NICE</v>
      </c>
      <c r="J1494" t="str">
        <f>"07 69 39 09 05 "</f>
        <v xml:space="preserve">07 69 39 09 05 </v>
      </c>
      <c r="L1494" s="1">
        <v>43207</v>
      </c>
      <c r="M1494" t="str">
        <f t="shared" si="252"/>
        <v>124</v>
      </c>
      <c r="N1494" t="str">
        <f t="shared" si="253"/>
        <v>Centre de Santé</v>
      </c>
      <c r="O1494" t="str">
        <f t="shared" si="256"/>
        <v>60</v>
      </c>
      <c r="P1494" t="str">
        <f t="shared" si="257"/>
        <v>Association Loi 1901 non Reconnue d'Utilité Publique</v>
      </c>
      <c r="Q1494" t="str">
        <f>"99"</f>
        <v>99</v>
      </c>
      <c r="R1494" t="str">
        <f>"Indéterminé"</f>
        <v>Indéterminé</v>
      </c>
      <c r="U1494" t="str">
        <f>"060025723"</f>
        <v>060025723</v>
      </c>
    </row>
    <row r="1495" spans="1:21" x14ac:dyDescent="0.3">
      <c r="A1495" t="str">
        <f>"290035948"</f>
        <v>290035948</v>
      </c>
      <c r="B1495" t="str">
        <f>"777 629 288 00013"</f>
        <v>777 629 288 00013</v>
      </c>
      <c r="D1495" t="str">
        <f>"CDS DE ROSCOFF"</f>
        <v>CDS DE ROSCOFF</v>
      </c>
      <c r="E1495" t="str">
        <f>"MAISON SAINT-LUC"</f>
        <v>MAISON SAINT-LUC</v>
      </c>
      <c r="F1495" t="str">
        <f>"144 RUE MARQUISE DE KERGARIOU"</f>
        <v>144 RUE MARQUISE DE KERGARIOU</v>
      </c>
      <c r="H1495" t="str">
        <f>"29680"</f>
        <v>29680</v>
      </c>
      <c r="I1495" t="str">
        <f>"ROSCOFF"</f>
        <v>ROSCOFF</v>
      </c>
      <c r="L1495" s="1">
        <v>43206</v>
      </c>
      <c r="M1495" t="str">
        <f t="shared" si="252"/>
        <v>124</v>
      </c>
      <c r="N1495" t="str">
        <f t="shared" si="253"/>
        <v>Centre de Santé</v>
      </c>
      <c r="O1495" t="str">
        <f>"63"</f>
        <v>63</v>
      </c>
      <c r="P1495" t="str">
        <f>"Fondation"</f>
        <v>Fondation</v>
      </c>
      <c r="Q1495" t="str">
        <f t="shared" ref="Q1495:Q1511" si="258">"36"</f>
        <v>36</v>
      </c>
      <c r="R1495" t="str">
        <f t="shared" ref="R1495:R1511" si="259">"Tarifs conventionnels assurance maladie"</f>
        <v>Tarifs conventionnels assurance maladie</v>
      </c>
      <c r="U1495" t="str">
        <f>"290000546"</f>
        <v>290000546</v>
      </c>
    </row>
    <row r="1496" spans="1:21" x14ac:dyDescent="0.3">
      <c r="A1496" t="str">
        <f>"750061509"</f>
        <v>750061509</v>
      </c>
      <c r="D1496" t="str">
        <f>"CDS DENTAIRE DENTASMILE DAVOUT"</f>
        <v>CDS DENTAIRE DENTASMILE DAVOUT</v>
      </c>
      <c r="F1496" t="str">
        <f>"103 RUE DE LAGNY"</f>
        <v>103 RUE DE LAGNY</v>
      </c>
      <c r="H1496" t="str">
        <f>"75020"</f>
        <v>75020</v>
      </c>
      <c r="I1496" t="str">
        <f>"PARIS"</f>
        <v>PARIS</v>
      </c>
      <c r="J1496" t="str">
        <f>"06 07 26 25 76 "</f>
        <v xml:space="preserve">06 07 26 25 76 </v>
      </c>
      <c r="L1496" s="1">
        <v>43203</v>
      </c>
      <c r="M1496" t="str">
        <f t="shared" si="252"/>
        <v>124</v>
      </c>
      <c r="N1496" t="str">
        <f t="shared" si="253"/>
        <v>Centre de Santé</v>
      </c>
      <c r="O1496" t="str">
        <f>"60"</f>
        <v>60</v>
      </c>
      <c r="P1496" t="str">
        <f>"Association Loi 1901 non Reconnue d'Utilité Publique"</f>
        <v>Association Loi 1901 non Reconnue d'Utilité Publique</v>
      </c>
      <c r="Q1496" t="str">
        <f t="shared" si="258"/>
        <v>36</v>
      </c>
      <c r="R1496" t="str">
        <f t="shared" si="259"/>
        <v>Tarifs conventionnels assurance maladie</v>
      </c>
      <c r="U1496" t="str">
        <f>"750057440"</f>
        <v>750057440</v>
      </c>
    </row>
    <row r="1497" spans="1:21" x14ac:dyDescent="0.3">
      <c r="A1497" t="str">
        <f>"950043760"</f>
        <v>950043760</v>
      </c>
      <c r="D1497" t="str">
        <f>"CDS DENTAIRE DE PIERRELAYE"</f>
        <v>CDS DENTAIRE DE PIERRELAYE</v>
      </c>
      <c r="F1497" t="str">
        <f>"125 AVENUE DU GENERAL LECLERC"</f>
        <v>125 AVENUE DU GENERAL LECLERC</v>
      </c>
      <c r="H1497" t="str">
        <f>"95220"</f>
        <v>95220</v>
      </c>
      <c r="I1497" t="str">
        <f>"PIERRELAYE"</f>
        <v>PIERRELAYE</v>
      </c>
      <c r="J1497" t="str">
        <f>"06 58 30 67 77 "</f>
        <v xml:space="preserve">06 58 30 67 77 </v>
      </c>
      <c r="L1497" s="1">
        <v>43203</v>
      </c>
      <c r="M1497" t="str">
        <f t="shared" si="252"/>
        <v>124</v>
      </c>
      <c r="N1497" t="str">
        <f t="shared" si="253"/>
        <v>Centre de Santé</v>
      </c>
      <c r="O1497" t="str">
        <f>"60"</f>
        <v>60</v>
      </c>
      <c r="P1497" t="str">
        <f>"Association Loi 1901 non Reconnue d'Utilité Publique"</f>
        <v>Association Loi 1901 non Reconnue d'Utilité Publique</v>
      </c>
      <c r="Q1497" t="str">
        <f t="shared" si="258"/>
        <v>36</v>
      </c>
      <c r="R1497" t="str">
        <f t="shared" si="259"/>
        <v>Tarifs conventionnels assurance maladie</v>
      </c>
      <c r="U1497" t="str">
        <f>"950044776"</f>
        <v>950044776</v>
      </c>
    </row>
    <row r="1498" spans="1:21" x14ac:dyDescent="0.3">
      <c r="A1498" t="str">
        <f>"110007838"</f>
        <v>110007838</v>
      </c>
      <c r="B1498" t="str">
        <f>"200 035 863 00014"</f>
        <v>200 035 863 00014</v>
      </c>
      <c r="D1498" t="str">
        <f>"CENTRE DE SANTE INTERCOMMUNAL CCRLCM"</f>
        <v>CENTRE DE SANTE INTERCOMMUNAL CCRLCM</v>
      </c>
      <c r="F1498" t="str">
        <f>"57 AVENUE DE NARBONNE"</f>
        <v>57 AVENUE DE NARBONNE</v>
      </c>
      <c r="H1498" t="str">
        <f>"11220"</f>
        <v>11220</v>
      </c>
      <c r="I1498" t="str">
        <f>"ST LAURENT DE LA CABRERISS"</f>
        <v>ST LAURENT DE LA CABRERISS</v>
      </c>
      <c r="J1498" t="str">
        <f>"04 68 44 01 85 "</f>
        <v xml:space="preserve">04 68 44 01 85 </v>
      </c>
      <c r="L1498" s="1">
        <v>43201</v>
      </c>
      <c r="M1498" t="str">
        <f t="shared" si="252"/>
        <v>124</v>
      </c>
      <c r="N1498" t="str">
        <f t="shared" si="253"/>
        <v>Centre de Santé</v>
      </c>
      <c r="O1498" t="str">
        <f>"06"</f>
        <v>06</v>
      </c>
      <c r="P1498" t="str">
        <f>"Autre Collectivité Territoriale"</f>
        <v>Autre Collectivité Territoriale</v>
      </c>
      <c r="Q1498" t="str">
        <f t="shared" si="258"/>
        <v>36</v>
      </c>
      <c r="R1498" t="str">
        <f t="shared" si="259"/>
        <v>Tarifs conventionnels assurance maladie</v>
      </c>
      <c r="U1498" t="str">
        <f>"110007820"</f>
        <v>110007820</v>
      </c>
    </row>
    <row r="1499" spans="1:21" x14ac:dyDescent="0.3">
      <c r="A1499" t="str">
        <f>"870018058"</f>
        <v>870018058</v>
      </c>
      <c r="B1499" t="str">
        <f>"837 946 847 00014"</f>
        <v>837 946 847 00014</v>
      </c>
      <c r="D1499" t="str">
        <f>"CENTRE DE SOINS INFIRMIERS ARCADIE"</f>
        <v>CENTRE DE SOINS INFIRMIERS ARCADIE</v>
      </c>
      <c r="F1499" t="str">
        <f>"41 AVENUE GABRIEL PERI"</f>
        <v>41 AVENUE GABRIEL PERI</v>
      </c>
      <c r="H1499" t="str">
        <f>"87000"</f>
        <v>87000</v>
      </c>
      <c r="I1499" t="str">
        <f>"LIMOGES"</f>
        <v>LIMOGES</v>
      </c>
      <c r="J1499" t="str">
        <f>"05 55 32 78 01 "</f>
        <v xml:space="preserve">05 55 32 78 01 </v>
      </c>
      <c r="K1499" t="str">
        <f>"05 55 31 12 30"</f>
        <v>05 55 31 12 30</v>
      </c>
      <c r="L1499" s="1">
        <v>43199</v>
      </c>
      <c r="M1499" t="str">
        <f t="shared" si="252"/>
        <v>124</v>
      </c>
      <c r="N1499" t="str">
        <f t="shared" si="253"/>
        <v>Centre de Santé</v>
      </c>
      <c r="O1499" t="str">
        <f>"60"</f>
        <v>60</v>
      </c>
      <c r="P1499" t="str">
        <f>"Association Loi 1901 non Reconnue d'Utilité Publique"</f>
        <v>Association Loi 1901 non Reconnue d'Utilité Publique</v>
      </c>
      <c r="Q1499" t="str">
        <f t="shared" si="258"/>
        <v>36</v>
      </c>
      <c r="R1499" t="str">
        <f t="shared" si="259"/>
        <v>Tarifs conventionnels assurance maladie</v>
      </c>
      <c r="U1499" t="str">
        <f>"870018041"</f>
        <v>870018041</v>
      </c>
    </row>
    <row r="1500" spans="1:21" x14ac:dyDescent="0.3">
      <c r="A1500" t="str">
        <f>"670018746"</f>
        <v>670018746</v>
      </c>
      <c r="B1500" t="str">
        <f>"838 916 336 00020"</f>
        <v>838 916 336 00020</v>
      </c>
      <c r="D1500" t="str">
        <f>"CENTRE DE SANTE DENTAIRE DE LA GARE"</f>
        <v>CENTRE DE SANTE DENTAIRE DE LA GARE</v>
      </c>
      <c r="F1500" t="str">
        <f>"15 RUE DU FAUBOURG DE SAVERNE"</f>
        <v>15 RUE DU FAUBOURG DE SAVERNE</v>
      </c>
      <c r="H1500" t="str">
        <f>"67000"</f>
        <v>67000</v>
      </c>
      <c r="I1500" t="str">
        <f>"STRASBOURG"</f>
        <v>STRASBOURG</v>
      </c>
      <c r="J1500" t="str">
        <f>"03 90 00 55 55 "</f>
        <v xml:space="preserve">03 90 00 55 55 </v>
      </c>
      <c r="L1500" s="1">
        <v>43195</v>
      </c>
      <c r="M1500" t="str">
        <f t="shared" si="252"/>
        <v>124</v>
      </c>
      <c r="N1500" t="str">
        <f t="shared" si="253"/>
        <v>Centre de Santé</v>
      </c>
      <c r="O1500" t="str">
        <f>"60"</f>
        <v>60</v>
      </c>
      <c r="P1500" t="str">
        <f>"Association Loi 1901 non Reconnue d'Utilité Publique"</f>
        <v>Association Loi 1901 non Reconnue d'Utilité Publique</v>
      </c>
      <c r="Q1500" t="str">
        <f t="shared" si="258"/>
        <v>36</v>
      </c>
      <c r="R1500" t="str">
        <f t="shared" si="259"/>
        <v>Tarifs conventionnels assurance maladie</v>
      </c>
      <c r="U1500" t="str">
        <f>"750061376"</f>
        <v>750061376</v>
      </c>
    </row>
    <row r="1501" spans="1:21" x14ac:dyDescent="0.3">
      <c r="A1501" t="str">
        <f>"680021425"</f>
        <v>680021425</v>
      </c>
      <c r="B1501" t="str">
        <f>"509 168 480 00010"</f>
        <v>509 168 480 00010</v>
      </c>
      <c r="D1501" t="str">
        <f>"CENTRE DE SOINS INFIRMIERS APAMAD"</f>
        <v>CENTRE DE SOINS INFIRMIERS APAMAD</v>
      </c>
      <c r="F1501" t="str">
        <f>"7 RUE D'ENSISHEIM"</f>
        <v>7 RUE D'ENSISHEIM</v>
      </c>
      <c r="H1501" t="str">
        <f>"68270"</f>
        <v>68270</v>
      </c>
      <c r="I1501" t="str">
        <f>"WITTENHEIM"</f>
        <v>WITTENHEIM</v>
      </c>
      <c r="L1501" s="1">
        <v>43191</v>
      </c>
      <c r="M1501" t="str">
        <f t="shared" si="252"/>
        <v>124</v>
      </c>
      <c r="N1501" t="str">
        <f t="shared" si="253"/>
        <v>Centre de Santé</v>
      </c>
      <c r="O1501" t="str">
        <f>"62"</f>
        <v>62</v>
      </c>
      <c r="P1501" t="str">
        <f>"Association de Droit Local"</f>
        <v>Association de Droit Local</v>
      </c>
      <c r="Q1501" t="str">
        <f t="shared" si="258"/>
        <v>36</v>
      </c>
      <c r="R1501" t="str">
        <f t="shared" si="259"/>
        <v>Tarifs conventionnels assurance maladie</v>
      </c>
      <c r="U1501" t="str">
        <f>"680018199"</f>
        <v>680018199</v>
      </c>
    </row>
    <row r="1502" spans="1:21" x14ac:dyDescent="0.3">
      <c r="A1502" t="str">
        <f>"710015736"</f>
        <v>710015736</v>
      </c>
      <c r="D1502" t="str">
        <f>"CENTRE DE SANTE TERRITORIAL CHALON"</f>
        <v>CENTRE DE SANTE TERRITORIAL CHALON</v>
      </c>
      <c r="F1502" t="str">
        <f>"7 RUE DE LYON"</f>
        <v>7 RUE DE LYON</v>
      </c>
      <c r="H1502" t="str">
        <f>"71100"</f>
        <v>71100</v>
      </c>
      <c r="I1502" t="str">
        <f>"CHALON SUR SAONE"</f>
        <v>CHALON SUR SAONE</v>
      </c>
      <c r="L1502" s="1">
        <v>43189</v>
      </c>
      <c r="M1502" t="str">
        <f t="shared" si="252"/>
        <v>124</v>
      </c>
      <c r="N1502" t="str">
        <f t="shared" si="253"/>
        <v>Centre de Santé</v>
      </c>
      <c r="O1502" t="str">
        <f>"02"</f>
        <v>02</v>
      </c>
      <c r="P1502" t="str">
        <f>"Département"</f>
        <v>Département</v>
      </c>
      <c r="Q1502" t="str">
        <f t="shared" si="258"/>
        <v>36</v>
      </c>
      <c r="R1502" t="str">
        <f t="shared" si="259"/>
        <v>Tarifs conventionnels assurance maladie</v>
      </c>
      <c r="U1502" t="str">
        <f>"710015694"</f>
        <v>710015694</v>
      </c>
    </row>
    <row r="1503" spans="1:21" x14ac:dyDescent="0.3">
      <c r="A1503" t="str">
        <f>"750061467"</f>
        <v>750061467</v>
      </c>
      <c r="B1503" t="str">
        <f>"835 222 654 00013"</f>
        <v>835 222 654 00013</v>
      </c>
      <c r="D1503" t="str">
        <f>"CDS MED DENTAIRE TROCADERO VICTOR HUGO"</f>
        <v>CDS MED DENTAIRE TROCADERO VICTOR HUGO</v>
      </c>
      <c r="F1503" t="str">
        <f>"140 AVENUE VICTOR HUGO"</f>
        <v>140 AVENUE VICTOR HUGO</v>
      </c>
      <c r="H1503" t="str">
        <f>"75016"</f>
        <v>75016</v>
      </c>
      <c r="I1503" t="str">
        <f>"PARIS"</f>
        <v>PARIS</v>
      </c>
      <c r="J1503" t="str">
        <f>"01 47 55 05 06 "</f>
        <v xml:space="preserve">01 47 55 05 06 </v>
      </c>
      <c r="L1503" s="1">
        <v>43188</v>
      </c>
      <c r="M1503" t="str">
        <f t="shared" si="252"/>
        <v>124</v>
      </c>
      <c r="N1503" t="str">
        <f t="shared" si="253"/>
        <v>Centre de Santé</v>
      </c>
      <c r="O1503" t="str">
        <f>"60"</f>
        <v>60</v>
      </c>
      <c r="P1503" t="str">
        <f>"Association Loi 1901 non Reconnue d'Utilité Publique"</f>
        <v>Association Loi 1901 non Reconnue d'Utilité Publique</v>
      </c>
      <c r="Q1503" t="str">
        <f t="shared" si="258"/>
        <v>36</v>
      </c>
      <c r="R1503" t="str">
        <f t="shared" si="259"/>
        <v>Tarifs conventionnels assurance maladie</v>
      </c>
      <c r="U1503" t="str">
        <f>"750061459"</f>
        <v>750061459</v>
      </c>
    </row>
    <row r="1504" spans="1:21" x14ac:dyDescent="0.3">
      <c r="A1504" t="str">
        <f>"700005614"</f>
        <v>700005614</v>
      </c>
      <c r="B1504" t="str">
        <f>"318 010 600 00068"</f>
        <v>318 010 600 00068</v>
      </c>
      <c r="D1504" t="str">
        <f>"CENTRE DE SANTE INFIRMIERS"</f>
        <v>CENTRE DE SANTE INFIRMIERS</v>
      </c>
      <c r="F1504" t="str">
        <f>"62 GRANDE RUE"</f>
        <v>62 GRANDE RUE</v>
      </c>
      <c r="H1504" t="str">
        <f>"70700"</f>
        <v>70700</v>
      </c>
      <c r="I1504" t="str">
        <f>"GY"</f>
        <v>GY</v>
      </c>
      <c r="L1504" s="1">
        <v>43181</v>
      </c>
      <c r="M1504" t="str">
        <f t="shared" si="252"/>
        <v>124</v>
      </c>
      <c r="N1504" t="str">
        <f t="shared" si="253"/>
        <v>Centre de Santé</v>
      </c>
      <c r="O1504" t="str">
        <f>"60"</f>
        <v>60</v>
      </c>
      <c r="P1504" t="str">
        <f>"Association Loi 1901 non Reconnue d'Utilité Publique"</f>
        <v>Association Loi 1901 non Reconnue d'Utilité Publique</v>
      </c>
      <c r="Q1504" t="str">
        <f t="shared" si="258"/>
        <v>36</v>
      </c>
      <c r="R1504" t="str">
        <f t="shared" si="259"/>
        <v>Tarifs conventionnels assurance maladie</v>
      </c>
      <c r="U1504" t="str">
        <f>"700785306"</f>
        <v>700785306</v>
      </c>
    </row>
    <row r="1505" spans="1:21" x14ac:dyDescent="0.3">
      <c r="A1505" t="str">
        <f>"830024402"</f>
        <v>830024402</v>
      </c>
      <c r="B1505" t="str">
        <f>"352 098 131 00951"</f>
        <v>352 098 131 00951</v>
      </c>
      <c r="D1505" t="str">
        <f>"CDS DENTAIRE DE HYERES"</f>
        <v>CDS DENTAIRE DE HYERES</v>
      </c>
      <c r="F1505" t="str">
        <f>"18 AVENUE DE BELGIQUE"</f>
        <v>18 AVENUE DE BELGIQUE</v>
      </c>
      <c r="H1505" t="str">
        <f>"83400"</f>
        <v>83400</v>
      </c>
      <c r="I1505" t="str">
        <f>"HYERES"</f>
        <v>HYERES</v>
      </c>
      <c r="J1505" t="str">
        <f>"04 94 65 27 65 "</f>
        <v xml:space="preserve">04 94 65 27 65 </v>
      </c>
      <c r="L1505" s="1">
        <v>43175</v>
      </c>
      <c r="M1505" t="str">
        <f t="shared" si="252"/>
        <v>124</v>
      </c>
      <c r="N1505" t="str">
        <f t="shared" si="253"/>
        <v>Centre de Santé</v>
      </c>
      <c r="O1505" t="str">
        <f>"47"</f>
        <v>47</v>
      </c>
      <c r="P1505" t="str">
        <f>"Société Mutualiste"</f>
        <v>Société Mutualiste</v>
      </c>
      <c r="Q1505" t="str">
        <f t="shared" si="258"/>
        <v>36</v>
      </c>
      <c r="R1505" t="str">
        <f t="shared" si="259"/>
        <v>Tarifs conventionnels assurance maladie</v>
      </c>
      <c r="U1505" t="str">
        <f>"130007032"</f>
        <v>130007032</v>
      </c>
    </row>
    <row r="1506" spans="1:21" x14ac:dyDescent="0.3">
      <c r="A1506" t="str">
        <f>"690043526"</f>
        <v>690043526</v>
      </c>
      <c r="B1506" t="str">
        <f>"837 659 309 00012"</f>
        <v>837 659 309 00012</v>
      </c>
      <c r="D1506" t="str">
        <f>"CENTRE DE SANTE MEDICO DENTAIRE"</f>
        <v>CENTRE DE SANTE MEDICO DENTAIRE</v>
      </c>
      <c r="F1506" t="str">
        <f>"35 AVENUE JEAN CAGNE"</f>
        <v>35 AVENUE JEAN CAGNE</v>
      </c>
      <c r="H1506" t="str">
        <f>"69200"</f>
        <v>69200</v>
      </c>
      <c r="I1506" t="str">
        <f>"VENISSIEUX"</f>
        <v>VENISSIEUX</v>
      </c>
      <c r="L1506" s="1">
        <v>43174</v>
      </c>
      <c r="M1506" t="str">
        <f t="shared" si="252"/>
        <v>124</v>
      </c>
      <c r="N1506" t="str">
        <f t="shared" si="253"/>
        <v>Centre de Santé</v>
      </c>
      <c r="O1506" t="str">
        <f>"61"</f>
        <v>61</v>
      </c>
      <c r="P1506" t="str">
        <f>"Association Loi 1901 Reconnue d'Utilité Publique"</f>
        <v>Association Loi 1901 Reconnue d'Utilité Publique</v>
      </c>
      <c r="Q1506" t="str">
        <f t="shared" si="258"/>
        <v>36</v>
      </c>
      <c r="R1506" t="str">
        <f t="shared" si="259"/>
        <v>Tarifs conventionnels assurance maladie</v>
      </c>
      <c r="U1506" t="str">
        <f>"690043518"</f>
        <v>690043518</v>
      </c>
    </row>
    <row r="1507" spans="1:21" x14ac:dyDescent="0.3">
      <c r="A1507" t="str">
        <f>"130047285"</f>
        <v>130047285</v>
      </c>
      <c r="D1507" t="str">
        <f>"CDS ART DENT LA FOURRAGERE"</f>
        <v>CDS ART DENT LA FOURRAGERE</v>
      </c>
      <c r="F1507" t="str">
        <f>"63 AVENUE DE LA FOURRAGERE"</f>
        <v>63 AVENUE DE LA FOURRAGERE</v>
      </c>
      <c r="H1507" t="str">
        <f>"13012"</f>
        <v>13012</v>
      </c>
      <c r="I1507" t="str">
        <f>"MARSEILLE"</f>
        <v>MARSEILLE</v>
      </c>
      <c r="J1507" t="str">
        <f>"06 19 94 60 82 "</f>
        <v xml:space="preserve">06 19 94 60 82 </v>
      </c>
      <c r="L1507" s="1">
        <v>43171</v>
      </c>
      <c r="M1507" t="str">
        <f t="shared" si="252"/>
        <v>124</v>
      </c>
      <c r="N1507" t="str">
        <f t="shared" si="253"/>
        <v>Centre de Santé</v>
      </c>
      <c r="O1507" t="str">
        <f>"60"</f>
        <v>60</v>
      </c>
      <c r="P1507" t="str">
        <f>"Association Loi 1901 non Reconnue d'Utilité Publique"</f>
        <v>Association Loi 1901 non Reconnue d'Utilité Publique</v>
      </c>
      <c r="Q1507" t="str">
        <f t="shared" si="258"/>
        <v>36</v>
      </c>
      <c r="R1507" t="str">
        <f t="shared" si="259"/>
        <v>Tarifs conventionnels assurance maladie</v>
      </c>
      <c r="U1507" t="str">
        <f>"130047277"</f>
        <v>130047277</v>
      </c>
    </row>
    <row r="1508" spans="1:21" x14ac:dyDescent="0.3">
      <c r="A1508" t="str">
        <f>"130047301"</f>
        <v>130047301</v>
      </c>
      <c r="D1508" t="str">
        <f>"CDS DENTAIRE SAINT JUST"</f>
        <v>CDS DENTAIRE SAINT JUST</v>
      </c>
      <c r="F1508" t="str">
        <f>"41 RUE ALPHONSE DAUDET"</f>
        <v>41 RUE ALPHONSE DAUDET</v>
      </c>
      <c r="H1508" t="str">
        <f>"13013"</f>
        <v>13013</v>
      </c>
      <c r="I1508" t="str">
        <f>"MARSEILLE"</f>
        <v>MARSEILLE</v>
      </c>
      <c r="J1508" t="str">
        <f>"06 51 03 33 84 "</f>
        <v xml:space="preserve">06 51 03 33 84 </v>
      </c>
      <c r="L1508" s="1">
        <v>43171</v>
      </c>
      <c r="M1508" t="str">
        <f t="shared" si="252"/>
        <v>124</v>
      </c>
      <c r="N1508" t="str">
        <f t="shared" si="253"/>
        <v>Centre de Santé</v>
      </c>
      <c r="O1508" t="str">
        <f>"60"</f>
        <v>60</v>
      </c>
      <c r="P1508" t="str">
        <f>"Association Loi 1901 non Reconnue d'Utilité Publique"</f>
        <v>Association Loi 1901 non Reconnue d'Utilité Publique</v>
      </c>
      <c r="Q1508" t="str">
        <f t="shared" si="258"/>
        <v>36</v>
      </c>
      <c r="R1508" t="str">
        <f t="shared" si="259"/>
        <v>Tarifs conventionnels assurance maladie</v>
      </c>
      <c r="U1508" t="str">
        <f>"130047293"</f>
        <v>130047293</v>
      </c>
    </row>
    <row r="1509" spans="1:21" x14ac:dyDescent="0.3">
      <c r="A1509" t="str">
        <f>"440054351"</f>
        <v>440054351</v>
      </c>
      <c r="B1509" t="str">
        <f>"810 995 852 00011"</f>
        <v>810 995 852 00011</v>
      </c>
      <c r="D1509" t="str">
        <f>"CENTRE DE SANTE DENTAIRE DENTASMILE"</f>
        <v>CENTRE DE SANTE DENTAIRE DENTASMILE</v>
      </c>
      <c r="F1509" t="str">
        <f>"133 ROUTE DE VANNES"</f>
        <v>133 ROUTE DE VANNES</v>
      </c>
      <c r="H1509" t="str">
        <f>"44800"</f>
        <v>44800</v>
      </c>
      <c r="I1509" t="str">
        <f>"ST HERBLAIN"</f>
        <v>ST HERBLAIN</v>
      </c>
      <c r="J1509" t="str">
        <f>"06 07 26 25 76 "</f>
        <v xml:space="preserve">06 07 26 25 76 </v>
      </c>
      <c r="L1509" s="1">
        <v>43171</v>
      </c>
      <c r="M1509" t="str">
        <f t="shared" si="252"/>
        <v>124</v>
      </c>
      <c r="N1509" t="str">
        <f t="shared" si="253"/>
        <v>Centre de Santé</v>
      </c>
      <c r="O1509" t="str">
        <f>"60"</f>
        <v>60</v>
      </c>
      <c r="P1509" t="str">
        <f>"Association Loi 1901 non Reconnue d'Utilité Publique"</f>
        <v>Association Loi 1901 non Reconnue d'Utilité Publique</v>
      </c>
      <c r="Q1509" t="str">
        <f t="shared" si="258"/>
        <v>36</v>
      </c>
      <c r="R1509" t="str">
        <f t="shared" si="259"/>
        <v>Tarifs conventionnels assurance maladie</v>
      </c>
      <c r="U1509" t="str">
        <f>"750057440"</f>
        <v>750057440</v>
      </c>
    </row>
    <row r="1510" spans="1:21" x14ac:dyDescent="0.3">
      <c r="A1510" t="str">
        <f>"590060117"</f>
        <v>590060117</v>
      </c>
      <c r="B1510" t="str">
        <f>"832 870 430 00010"</f>
        <v>832 870 430 00010</v>
      </c>
      <c r="D1510" t="str">
        <f>"C S DENTAIRE LILLE"</f>
        <v>C S DENTAIRE LILLE</v>
      </c>
      <c r="F1510" t="str">
        <f>"96 RUE NATIONALE"</f>
        <v>96 RUE NATIONALE</v>
      </c>
      <c r="H1510" t="str">
        <f>"59800"</f>
        <v>59800</v>
      </c>
      <c r="I1510" t="str">
        <f>"LILLE"</f>
        <v>LILLE</v>
      </c>
      <c r="J1510" t="str">
        <f>"03 65 61 06 41 "</f>
        <v xml:space="preserve">03 65 61 06 41 </v>
      </c>
      <c r="L1510" s="1">
        <v>43171</v>
      </c>
      <c r="M1510" t="str">
        <f t="shared" si="252"/>
        <v>124</v>
      </c>
      <c r="N1510" t="str">
        <f t="shared" si="253"/>
        <v>Centre de Santé</v>
      </c>
      <c r="O1510" t="str">
        <f>"61"</f>
        <v>61</v>
      </c>
      <c r="P1510" t="str">
        <f>"Association Loi 1901 Reconnue d'Utilité Publique"</f>
        <v>Association Loi 1901 Reconnue d'Utilité Publique</v>
      </c>
      <c r="Q1510" t="str">
        <f t="shared" si="258"/>
        <v>36</v>
      </c>
      <c r="R1510" t="str">
        <f t="shared" si="259"/>
        <v>Tarifs conventionnels assurance maladie</v>
      </c>
      <c r="U1510" t="str">
        <f>"590060109"</f>
        <v>590060109</v>
      </c>
    </row>
    <row r="1511" spans="1:21" x14ac:dyDescent="0.3">
      <c r="A1511" t="str">
        <f>"700005598"</f>
        <v>700005598</v>
      </c>
      <c r="D1511" t="str">
        <f>"CENTRE DE SANTE DU PAYS DE LURE"</f>
        <v>CENTRE DE SANTE DU PAYS DE LURE</v>
      </c>
      <c r="F1511" t="str">
        <f>"37 RUE CARNOT"</f>
        <v>37 RUE CARNOT</v>
      </c>
      <c r="H1511" t="str">
        <f>"70200"</f>
        <v>70200</v>
      </c>
      <c r="I1511" t="str">
        <f>"LURE"</f>
        <v>LURE</v>
      </c>
      <c r="L1511" s="1">
        <v>43168</v>
      </c>
      <c r="M1511" t="str">
        <f t="shared" si="252"/>
        <v>124</v>
      </c>
      <c r="N1511" t="str">
        <f t="shared" si="253"/>
        <v>Centre de Santé</v>
      </c>
      <c r="O1511" t="str">
        <f>"60"</f>
        <v>60</v>
      </c>
      <c r="P1511" t="str">
        <f>"Association Loi 1901 non Reconnue d'Utilité Publique"</f>
        <v>Association Loi 1901 non Reconnue d'Utilité Publique</v>
      </c>
      <c r="Q1511" t="str">
        <f t="shared" si="258"/>
        <v>36</v>
      </c>
      <c r="R1511" t="str">
        <f t="shared" si="259"/>
        <v>Tarifs conventionnels assurance maladie</v>
      </c>
      <c r="U1511" t="str">
        <f>"250019510"</f>
        <v>250019510</v>
      </c>
    </row>
    <row r="1512" spans="1:21" x14ac:dyDescent="0.3">
      <c r="A1512" t="str">
        <f>"370014045"</f>
        <v>370014045</v>
      </c>
      <c r="D1512" t="str">
        <f>"CENTRE MEDICO-DENTAIRE AVICENNE"</f>
        <v>CENTRE MEDICO-DENTAIRE AVICENNE</v>
      </c>
      <c r="F1512" t="str">
        <f>"159 AVENUE GRAMMONT"</f>
        <v>159 AVENUE GRAMMONT</v>
      </c>
      <c r="H1512" t="str">
        <f>"37000"</f>
        <v>37000</v>
      </c>
      <c r="I1512" t="str">
        <f>"TOURS"</f>
        <v>TOURS</v>
      </c>
      <c r="J1512" t="str">
        <f>"02 47 20 83 57 "</f>
        <v xml:space="preserve">02 47 20 83 57 </v>
      </c>
      <c r="L1512" s="1">
        <v>43167</v>
      </c>
      <c r="M1512" t="str">
        <f t="shared" si="252"/>
        <v>124</v>
      </c>
      <c r="N1512" t="str">
        <f t="shared" si="253"/>
        <v>Centre de Santé</v>
      </c>
      <c r="O1512" t="str">
        <f>"61"</f>
        <v>61</v>
      </c>
      <c r="P1512" t="str">
        <f>"Association Loi 1901 Reconnue d'Utilité Publique"</f>
        <v>Association Loi 1901 Reconnue d'Utilité Publique</v>
      </c>
      <c r="Q1512" t="str">
        <f>"99"</f>
        <v>99</v>
      </c>
      <c r="R1512" t="str">
        <f>"Indéterminé"</f>
        <v>Indéterminé</v>
      </c>
      <c r="U1512" t="str">
        <f>"370014037"</f>
        <v>370014037</v>
      </c>
    </row>
    <row r="1513" spans="1:21" x14ac:dyDescent="0.3">
      <c r="A1513" t="str">
        <f>"180009805"</f>
        <v>180009805</v>
      </c>
      <c r="B1513" t="str">
        <f>"130 023 898 00013"</f>
        <v>130 023 898 00013</v>
      </c>
      <c r="D1513" t="str">
        <f>"CENTRE DE SANTE DE VIERZON"</f>
        <v>CENTRE DE SANTE DE VIERZON</v>
      </c>
      <c r="F1513" t="str">
        <f>"1 RUE DU MOUTON"</f>
        <v>1 RUE DU MOUTON</v>
      </c>
      <c r="H1513" t="str">
        <f>"18100"</f>
        <v>18100</v>
      </c>
      <c r="I1513" t="str">
        <f>"VIERZON"</f>
        <v>VIERZON</v>
      </c>
      <c r="J1513" t="str">
        <f>"02 46 63 03 03 "</f>
        <v xml:space="preserve">02 46 63 03 03 </v>
      </c>
      <c r="L1513" s="1">
        <v>43165</v>
      </c>
      <c r="M1513" t="str">
        <f t="shared" si="252"/>
        <v>124</v>
      </c>
      <c r="N1513" t="str">
        <f t="shared" si="253"/>
        <v>Centre de Santé</v>
      </c>
      <c r="O1513" t="str">
        <f>"28"</f>
        <v>28</v>
      </c>
      <c r="P1513" t="str">
        <f>"Groupement d'Intérêt Public (G.I.P.)"</f>
        <v>Groupement d'Intérêt Public (G.I.P.)</v>
      </c>
      <c r="Q1513" t="str">
        <f>"99"</f>
        <v>99</v>
      </c>
      <c r="R1513" t="str">
        <f>"Indéterminé"</f>
        <v>Indéterminé</v>
      </c>
      <c r="U1513" t="str">
        <f>"180009797"</f>
        <v>180009797</v>
      </c>
    </row>
    <row r="1514" spans="1:21" x14ac:dyDescent="0.3">
      <c r="A1514" t="str">
        <f>"330059932"</f>
        <v>330059932</v>
      </c>
      <c r="B1514" t="str">
        <f>"834 628 281 00026"</f>
        <v>834 628 281 00026</v>
      </c>
      <c r="D1514" t="str">
        <f>"CENTRE DE SANTÉ DENTAIRE DE L'ABSBD"</f>
        <v>CENTRE DE SANTÉ DENTAIRE DE L'ABSBD</v>
      </c>
      <c r="E1514" t="str">
        <f>"LES VOILES DE LA FAÏENCERIE"</f>
        <v>LES VOILES DE LA FAÏENCERIE</v>
      </c>
      <c r="F1514" t="str">
        <f>"62 RUE LUCIEN FAURE"</f>
        <v>62 RUE LUCIEN FAURE</v>
      </c>
      <c r="H1514" t="str">
        <f>"33300"</f>
        <v>33300</v>
      </c>
      <c r="I1514" t="str">
        <f>"BORDEAUX"</f>
        <v>BORDEAUX</v>
      </c>
      <c r="L1514" s="1">
        <v>43160</v>
      </c>
      <c r="M1514" t="str">
        <f t="shared" si="252"/>
        <v>124</v>
      </c>
      <c r="N1514" t="str">
        <f t="shared" si="253"/>
        <v>Centre de Santé</v>
      </c>
      <c r="O1514" t="str">
        <f>"60"</f>
        <v>60</v>
      </c>
      <c r="P1514" t="str">
        <f>"Association Loi 1901 non Reconnue d'Utilité Publique"</f>
        <v>Association Loi 1901 non Reconnue d'Utilité Publique</v>
      </c>
      <c r="Q1514" t="str">
        <f t="shared" ref="Q1514:Q1530" si="260">"36"</f>
        <v>36</v>
      </c>
      <c r="R1514" t="str">
        <f t="shared" ref="R1514:R1530" si="261">"Tarifs conventionnels assurance maladie"</f>
        <v>Tarifs conventionnels assurance maladie</v>
      </c>
      <c r="U1514" t="str">
        <f>"940024011"</f>
        <v>940024011</v>
      </c>
    </row>
    <row r="1515" spans="1:21" x14ac:dyDescent="0.3">
      <c r="A1515" t="str">
        <f>"930028121"</f>
        <v>930028121</v>
      </c>
      <c r="B1515" t="str">
        <f>"838 660 603 00013"</f>
        <v>838 660 603 00013</v>
      </c>
      <c r="D1515" t="str">
        <f>"CDS LE BOURGET"</f>
        <v>CDS LE BOURGET</v>
      </c>
      <c r="F1515" t="str">
        <f>"20 AVENUE FRANCIS DE PRESSENSE"</f>
        <v>20 AVENUE FRANCIS DE PRESSENSE</v>
      </c>
      <c r="H1515" t="str">
        <f>"93350"</f>
        <v>93350</v>
      </c>
      <c r="I1515" t="str">
        <f>"LE BOURGET"</f>
        <v>LE BOURGET</v>
      </c>
      <c r="J1515" t="str">
        <f>"01 49 65 52 65 "</f>
        <v xml:space="preserve">01 49 65 52 65 </v>
      </c>
      <c r="L1515" s="1">
        <v>43160</v>
      </c>
      <c r="M1515" t="str">
        <f t="shared" si="252"/>
        <v>124</v>
      </c>
      <c r="N1515" t="str">
        <f t="shared" si="253"/>
        <v>Centre de Santé</v>
      </c>
      <c r="O1515" t="str">
        <f>"60"</f>
        <v>60</v>
      </c>
      <c r="P1515" t="str">
        <f>"Association Loi 1901 non Reconnue d'Utilité Publique"</f>
        <v>Association Loi 1901 non Reconnue d'Utilité Publique</v>
      </c>
      <c r="Q1515" t="str">
        <f t="shared" si="260"/>
        <v>36</v>
      </c>
      <c r="R1515" t="str">
        <f t="shared" si="261"/>
        <v>Tarifs conventionnels assurance maladie</v>
      </c>
      <c r="U1515" t="str">
        <f>"930028113"</f>
        <v>930028113</v>
      </c>
    </row>
    <row r="1516" spans="1:21" x14ac:dyDescent="0.3">
      <c r="A1516" t="str">
        <f>"940024060"</f>
        <v>940024060</v>
      </c>
      <c r="D1516" t="str">
        <f>"CDS DENTAIRE IVRY - CDI"</f>
        <v>CDS DENTAIRE IVRY - CDI</v>
      </c>
      <c r="E1516" t="str">
        <f>"ZAC DU PLATEAU"</f>
        <v>ZAC DU PLATEAU</v>
      </c>
      <c r="F1516" t="str">
        <f>"PLACE DU GENERAL DE GAULLE"</f>
        <v>PLACE DU GENERAL DE GAULLE</v>
      </c>
      <c r="H1516" t="str">
        <f>"94200"</f>
        <v>94200</v>
      </c>
      <c r="I1516" t="str">
        <f>"IVRY SUR SEINE"</f>
        <v>IVRY SUR SEINE</v>
      </c>
      <c r="L1516" s="1">
        <v>43160</v>
      </c>
      <c r="M1516" t="str">
        <f t="shared" si="252"/>
        <v>124</v>
      </c>
      <c r="N1516" t="str">
        <f t="shared" si="253"/>
        <v>Centre de Santé</v>
      </c>
      <c r="O1516" t="str">
        <f>"60"</f>
        <v>60</v>
      </c>
      <c r="P1516" t="str">
        <f>"Association Loi 1901 non Reconnue d'Utilité Publique"</f>
        <v>Association Loi 1901 non Reconnue d'Utilité Publique</v>
      </c>
      <c r="Q1516" t="str">
        <f t="shared" si="260"/>
        <v>36</v>
      </c>
      <c r="R1516" t="str">
        <f t="shared" si="261"/>
        <v>Tarifs conventionnels assurance maladie</v>
      </c>
      <c r="U1516" t="str">
        <f>"940024052"</f>
        <v>940024052</v>
      </c>
    </row>
    <row r="1517" spans="1:21" x14ac:dyDescent="0.3">
      <c r="A1517" t="str">
        <f>"170025209"</f>
        <v>170025209</v>
      </c>
      <c r="B1517" t="str">
        <f>"784 361 453 00144"</f>
        <v>784 361 453 00144</v>
      </c>
      <c r="D1517" t="str">
        <f>"CS POLYVALENT ATASH"</f>
        <v>CS POLYVALENT ATASH</v>
      </c>
      <c r="F1517" t="str">
        <f>"19 BOULEVARD FELIX FAURE"</f>
        <v>19 BOULEVARD FELIX FAURE</v>
      </c>
      <c r="H1517" t="str">
        <f>"17370"</f>
        <v>17370</v>
      </c>
      <c r="I1517" t="str">
        <f>"ST TROJAN LES BAINS"</f>
        <v>ST TROJAN LES BAINS</v>
      </c>
      <c r="L1517" s="1">
        <v>43159</v>
      </c>
      <c r="M1517" t="str">
        <f t="shared" si="252"/>
        <v>124</v>
      </c>
      <c r="N1517" t="str">
        <f t="shared" si="253"/>
        <v>Centre de Santé</v>
      </c>
      <c r="O1517" t="str">
        <f>"61"</f>
        <v>61</v>
      </c>
      <c r="P1517" t="str">
        <f>"Association Loi 1901 Reconnue d'Utilité Publique"</f>
        <v>Association Loi 1901 Reconnue d'Utilité Publique</v>
      </c>
      <c r="Q1517" t="str">
        <f t="shared" si="260"/>
        <v>36</v>
      </c>
      <c r="R1517" t="str">
        <f t="shared" si="261"/>
        <v>Tarifs conventionnels assurance maladie</v>
      </c>
      <c r="U1517" t="str">
        <f>"170017321"</f>
        <v>170017321</v>
      </c>
    </row>
    <row r="1518" spans="1:21" x14ac:dyDescent="0.3">
      <c r="A1518" t="str">
        <f>"930028105"</f>
        <v>930028105</v>
      </c>
      <c r="D1518" t="str">
        <f>"CDS DENTAIRE OPHTALMOLOGIQUE BEL EST"</f>
        <v>CDS DENTAIRE OPHTALMOLOGIQUE BEL EST</v>
      </c>
      <c r="E1518" t="str">
        <f>"CENTRE COMMERCIAL BEL EST"</f>
        <v>CENTRE COMMERCIAL BEL EST</v>
      </c>
      <c r="F1518" t="str">
        <f>"28 AVENUE DU GENERAL DE GAULLE"</f>
        <v>28 AVENUE DU GENERAL DE GAULLE</v>
      </c>
      <c r="H1518" t="str">
        <f>"93170"</f>
        <v>93170</v>
      </c>
      <c r="I1518" t="str">
        <f>"BAGNOLET"</f>
        <v>BAGNOLET</v>
      </c>
      <c r="L1518" s="1">
        <v>43159</v>
      </c>
      <c r="M1518" t="str">
        <f t="shared" si="252"/>
        <v>124</v>
      </c>
      <c r="N1518" t="str">
        <f t="shared" si="253"/>
        <v>Centre de Santé</v>
      </c>
      <c r="O1518" t="str">
        <f>"60"</f>
        <v>60</v>
      </c>
      <c r="P1518" t="str">
        <f>"Association Loi 1901 non Reconnue d'Utilité Publique"</f>
        <v>Association Loi 1901 non Reconnue d'Utilité Publique</v>
      </c>
      <c r="Q1518" t="str">
        <f t="shared" si="260"/>
        <v>36</v>
      </c>
      <c r="R1518" t="str">
        <f t="shared" si="261"/>
        <v>Tarifs conventionnels assurance maladie</v>
      </c>
      <c r="U1518" t="str">
        <f>"930028097"</f>
        <v>930028097</v>
      </c>
    </row>
    <row r="1519" spans="1:21" x14ac:dyDescent="0.3">
      <c r="A1519" t="str">
        <f>"940024045"</f>
        <v>940024045</v>
      </c>
      <c r="D1519" t="str">
        <f>"CDS DENTAIRE ALFORT"</f>
        <v>CDS DENTAIRE ALFORT</v>
      </c>
      <c r="F1519" t="str">
        <f>"7 RUE EUGENE RENAULT"</f>
        <v>7 RUE EUGENE RENAULT</v>
      </c>
      <c r="H1519" t="str">
        <f>"94700"</f>
        <v>94700</v>
      </c>
      <c r="I1519" t="str">
        <f>"MAISONS ALFORT"</f>
        <v>MAISONS ALFORT</v>
      </c>
      <c r="L1519" s="1">
        <v>43159</v>
      </c>
      <c r="M1519" t="str">
        <f t="shared" si="252"/>
        <v>124</v>
      </c>
      <c r="N1519" t="str">
        <f t="shared" si="253"/>
        <v>Centre de Santé</v>
      </c>
      <c r="O1519" t="str">
        <f>"60"</f>
        <v>60</v>
      </c>
      <c r="P1519" t="str">
        <f>"Association Loi 1901 non Reconnue d'Utilité Publique"</f>
        <v>Association Loi 1901 non Reconnue d'Utilité Publique</v>
      </c>
      <c r="Q1519" t="str">
        <f t="shared" si="260"/>
        <v>36</v>
      </c>
      <c r="R1519" t="str">
        <f t="shared" si="261"/>
        <v>Tarifs conventionnels assurance maladie</v>
      </c>
      <c r="U1519" t="str">
        <f>"940024037"</f>
        <v>940024037</v>
      </c>
    </row>
    <row r="1520" spans="1:21" x14ac:dyDescent="0.3">
      <c r="A1520" t="str">
        <f>"710015710"</f>
        <v>710015710</v>
      </c>
      <c r="D1520" t="str">
        <f>"CENTRE DE SANTE TERRITORIAL AUTUN"</f>
        <v>CENTRE DE SANTE TERRITORIAL AUTUN</v>
      </c>
      <c r="F1520" t="str">
        <f>"15 BOULEVARD BERNARD GIBERSTEIN"</f>
        <v>15 BOULEVARD BERNARD GIBERSTEIN</v>
      </c>
      <c r="H1520" t="str">
        <f>"71400"</f>
        <v>71400</v>
      </c>
      <c r="I1520" t="str">
        <f>"AUTUN"</f>
        <v>AUTUN</v>
      </c>
      <c r="L1520" s="1">
        <v>43154</v>
      </c>
      <c r="M1520" t="str">
        <f t="shared" si="252"/>
        <v>124</v>
      </c>
      <c r="N1520" t="str">
        <f t="shared" si="253"/>
        <v>Centre de Santé</v>
      </c>
      <c r="O1520" t="str">
        <f>"02"</f>
        <v>02</v>
      </c>
      <c r="P1520" t="str">
        <f>"Département"</f>
        <v>Département</v>
      </c>
      <c r="Q1520" t="str">
        <f t="shared" si="260"/>
        <v>36</v>
      </c>
      <c r="R1520" t="str">
        <f t="shared" si="261"/>
        <v>Tarifs conventionnels assurance maladie</v>
      </c>
      <c r="U1520" t="str">
        <f>"710015694"</f>
        <v>710015694</v>
      </c>
    </row>
    <row r="1521" spans="1:21" x14ac:dyDescent="0.3">
      <c r="A1521" t="str">
        <f>"930028089"</f>
        <v>930028089</v>
      </c>
      <c r="D1521" t="str">
        <f>"CDS MEDICAL ET DENTAIRE AG-RPHBD-IDF"</f>
        <v>CDS MEDICAL ET DENTAIRE AG-RPHBD-IDF</v>
      </c>
      <c r="F1521" t="str">
        <f>"194 RUE BREMENT"</f>
        <v>194 RUE BREMENT</v>
      </c>
      <c r="H1521" t="str">
        <f>"93130"</f>
        <v>93130</v>
      </c>
      <c r="I1521" t="str">
        <f>"NOISY LE SEC"</f>
        <v>NOISY LE SEC</v>
      </c>
      <c r="L1521" s="1">
        <v>43144</v>
      </c>
      <c r="M1521" t="str">
        <f t="shared" si="252"/>
        <v>124</v>
      </c>
      <c r="N1521" t="str">
        <f t="shared" si="253"/>
        <v>Centre de Santé</v>
      </c>
      <c r="O1521" t="str">
        <f>"60"</f>
        <v>60</v>
      </c>
      <c r="P1521" t="str">
        <f>"Association Loi 1901 non Reconnue d'Utilité Publique"</f>
        <v>Association Loi 1901 non Reconnue d'Utilité Publique</v>
      </c>
      <c r="Q1521" t="str">
        <f t="shared" si="260"/>
        <v>36</v>
      </c>
      <c r="R1521" t="str">
        <f t="shared" si="261"/>
        <v>Tarifs conventionnels assurance maladie</v>
      </c>
      <c r="U1521" t="str">
        <f>"930028071"</f>
        <v>930028071</v>
      </c>
    </row>
    <row r="1522" spans="1:21" x14ac:dyDescent="0.3">
      <c r="A1522" t="str">
        <f>"260020979"</f>
        <v>260020979</v>
      </c>
      <c r="B1522" t="str">
        <f>"838 607 711 00010"</f>
        <v>838 607 711 00010</v>
      </c>
      <c r="D1522" t="str">
        <f>"CENTRE DE SANTE DENTAIRE DE MONTELIMAR"</f>
        <v>CENTRE DE SANTE DENTAIRE DE MONTELIMAR</v>
      </c>
      <c r="F1522" t="str">
        <f>"9 AVENUE JEAN JAURES"</f>
        <v>9 AVENUE JEAN JAURES</v>
      </c>
      <c r="H1522" t="str">
        <f>"26200"</f>
        <v>26200</v>
      </c>
      <c r="I1522" t="str">
        <f>"MONTELIMAR"</f>
        <v>MONTELIMAR</v>
      </c>
      <c r="L1522" s="1">
        <v>43139</v>
      </c>
      <c r="M1522" t="str">
        <f t="shared" si="252"/>
        <v>124</v>
      </c>
      <c r="N1522" t="str">
        <f t="shared" si="253"/>
        <v>Centre de Santé</v>
      </c>
      <c r="O1522" t="str">
        <f>"61"</f>
        <v>61</v>
      </c>
      <c r="P1522" t="str">
        <f>"Association Loi 1901 Reconnue d'Utilité Publique"</f>
        <v>Association Loi 1901 Reconnue d'Utilité Publique</v>
      </c>
      <c r="Q1522" t="str">
        <f t="shared" si="260"/>
        <v>36</v>
      </c>
      <c r="R1522" t="str">
        <f t="shared" si="261"/>
        <v>Tarifs conventionnels assurance maladie</v>
      </c>
      <c r="U1522" t="str">
        <f>"260020961"</f>
        <v>260020961</v>
      </c>
    </row>
    <row r="1523" spans="1:21" x14ac:dyDescent="0.3">
      <c r="A1523" t="str">
        <f>"710015702"</f>
        <v>710015702</v>
      </c>
      <c r="B1523" t="str">
        <f>"227 100 013 00738"</f>
        <v>227 100 013 00738</v>
      </c>
      <c r="D1523" t="str">
        <f>"CENTRE DE SANTE TERRITORIAL DIGOIN"</f>
        <v>CENTRE DE SANTE TERRITORIAL DIGOIN</v>
      </c>
      <c r="F1523" t="str">
        <f>"31 RUE NATIONALE"</f>
        <v>31 RUE NATIONALE</v>
      </c>
      <c r="H1523" t="str">
        <f>"71160"</f>
        <v>71160</v>
      </c>
      <c r="I1523" t="str">
        <f>"DIGOIN"</f>
        <v>DIGOIN</v>
      </c>
      <c r="L1523" s="1">
        <v>43137</v>
      </c>
      <c r="M1523" t="str">
        <f t="shared" si="252"/>
        <v>124</v>
      </c>
      <c r="N1523" t="str">
        <f t="shared" si="253"/>
        <v>Centre de Santé</v>
      </c>
      <c r="O1523" t="str">
        <f>"02"</f>
        <v>02</v>
      </c>
      <c r="P1523" t="str">
        <f>"Département"</f>
        <v>Département</v>
      </c>
      <c r="Q1523" t="str">
        <f t="shared" si="260"/>
        <v>36</v>
      </c>
      <c r="R1523" t="str">
        <f t="shared" si="261"/>
        <v>Tarifs conventionnels assurance maladie</v>
      </c>
      <c r="U1523" t="str">
        <f>"710015694"</f>
        <v>710015694</v>
      </c>
    </row>
    <row r="1524" spans="1:21" x14ac:dyDescent="0.3">
      <c r="A1524" t="str">
        <f>"920032356"</f>
        <v>920032356</v>
      </c>
      <c r="B1524" t="str">
        <f>"833 379 639 00010"</f>
        <v>833 379 639 00010</v>
      </c>
      <c r="D1524" t="str">
        <f>"CDS DENTAIRE COLOMBES GARE"</f>
        <v>CDS DENTAIRE COLOMBES GARE</v>
      </c>
      <c r="F1524" t="str">
        <f>"19 RUE SAINT-DENIS"</f>
        <v>19 RUE SAINT-DENIS</v>
      </c>
      <c r="H1524" t="str">
        <f>"92700"</f>
        <v>92700</v>
      </c>
      <c r="I1524" t="str">
        <f>"COLOMBES"</f>
        <v>COLOMBES</v>
      </c>
      <c r="L1524" s="1">
        <v>43137</v>
      </c>
      <c r="M1524" t="str">
        <f t="shared" si="252"/>
        <v>124</v>
      </c>
      <c r="N1524" t="str">
        <f t="shared" si="253"/>
        <v>Centre de Santé</v>
      </c>
      <c r="O1524" t="str">
        <f>"60"</f>
        <v>60</v>
      </c>
      <c r="P1524" t="str">
        <f>"Association Loi 1901 non Reconnue d'Utilité Publique"</f>
        <v>Association Loi 1901 non Reconnue d'Utilité Publique</v>
      </c>
      <c r="Q1524" t="str">
        <f t="shared" si="260"/>
        <v>36</v>
      </c>
      <c r="R1524" t="str">
        <f t="shared" si="261"/>
        <v>Tarifs conventionnels assurance maladie</v>
      </c>
      <c r="U1524" t="str">
        <f>"920032349"</f>
        <v>920032349</v>
      </c>
    </row>
    <row r="1525" spans="1:21" x14ac:dyDescent="0.3">
      <c r="A1525" t="str">
        <f>"750061202"</f>
        <v>750061202</v>
      </c>
      <c r="B1525" t="str">
        <f>"835 077 892 00015"</f>
        <v>835 077 892 00015</v>
      </c>
      <c r="D1525" t="str">
        <f>"CDS MEDICO DENTAIRE BALARD"</f>
        <v>CDS MEDICO DENTAIRE BALARD</v>
      </c>
      <c r="F1525" t="str">
        <f>"61 RUE BALARD"</f>
        <v>61 RUE BALARD</v>
      </c>
      <c r="H1525" t="str">
        <f>"75015"</f>
        <v>75015</v>
      </c>
      <c r="I1525" t="str">
        <f>"PARIS"</f>
        <v>PARIS</v>
      </c>
      <c r="J1525" t="str">
        <f>"01 40 60 88 10 "</f>
        <v xml:space="preserve">01 40 60 88 10 </v>
      </c>
      <c r="L1525" s="1">
        <v>43125</v>
      </c>
      <c r="M1525" t="str">
        <f t="shared" si="252"/>
        <v>124</v>
      </c>
      <c r="N1525" t="str">
        <f t="shared" si="253"/>
        <v>Centre de Santé</v>
      </c>
      <c r="O1525" t="str">
        <f>"60"</f>
        <v>60</v>
      </c>
      <c r="P1525" t="str">
        <f>"Association Loi 1901 non Reconnue d'Utilité Publique"</f>
        <v>Association Loi 1901 non Reconnue d'Utilité Publique</v>
      </c>
      <c r="Q1525" t="str">
        <f t="shared" si="260"/>
        <v>36</v>
      </c>
      <c r="R1525" t="str">
        <f t="shared" si="261"/>
        <v>Tarifs conventionnels assurance maladie</v>
      </c>
      <c r="U1525" t="str">
        <f>"750061194"</f>
        <v>750061194</v>
      </c>
    </row>
    <row r="1526" spans="1:21" x14ac:dyDescent="0.3">
      <c r="A1526" t="str">
        <f>"750061228"</f>
        <v>750061228</v>
      </c>
      <c r="B1526" t="str">
        <f>"833 649 791 00013"</f>
        <v>833 649 791 00013</v>
      </c>
      <c r="D1526" t="str">
        <f>"CDS OPHTALMOLOGIQUE PARIS BARBES"</f>
        <v>CDS OPHTALMOLOGIQUE PARIS BARBES</v>
      </c>
      <c r="F1526" t="str">
        <f>"49 BOULEVARD BARBES"</f>
        <v>49 BOULEVARD BARBES</v>
      </c>
      <c r="H1526" t="str">
        <f>"75018"</f>
        <v>75018</v>
      </c>
      <c r="I1526" t="str">
        <f>"PARIS"</f>
        <v>PARIS</v>
      </c>
      <c r="J1526" t="str">
        <f>"01 81 80 60 10 "</f>
        <v xml:space="preserve">01 81 80 60 10 </v>
      </c>
      <c r="K1526" t="str">
        <f>"01 81 80 60 10"</f>
        <v>01 81 80 60 10</v>
      </c>
      <c r="L1526" s="1">
        <v>43125</v>
      </c>
      <c r="M1526" t="str">
        <f t="shared" si="252"/>
        <v>124</v>
      </c>
      <c r="N1526" t="str">
        <f t="shared" si="253"/>
        <v>Centre de Santé</v>
      </c>
      <c r="O1526" t="str">
        <f>"61"</f>
        <v>61</v>
      </c>
      <c r="P1526" t="str">
        <f>"Association Loi 1901 Reconnue d'Utilité Publique"</f>
        <v>Association Loi 1901 Reconnue d'Utilité Publique</v>
      </c>
      <c r="Q1526" t="str">
        <f t="shared" si="260"/>
        <v>36</v>
      </c>
      <c r="R1526" t="str">
        <f t="shared" si="261"/>
        <v>Tarifs conventionnels assurance maladie</v>
      </c>
      <c r="U1526" t="str">
        <f>"750061210"</f>
        <v>750061210</v>
      </c>
    </row>
    <row r="1527" spans="1:21" x14ac:dyDescent="0.3">
      <c r="A1527" t="str">
        <f>"750061244"</f>
        <v>750061244</v>
      </c>
      <c r="D1527" t="str">
        <f>"CDS MEDICO-DENTAIRE PARIS BATIGNOLLES"</f>
        <v>CDS MEDICO-DENTAIRE PARIS BATIGNOLLES</v>
      </c>
      <c r="F1527" t="str">
        <f>"7 RUE GILBERT CESBRON"</f>
        <v>7 RUE GILBERT CESBRON</v>
      </c>
      <c r="H1527" t="str">
        <f>"75017"</f>
        <v>75017</v>
      </c>
      <c r="I1527" t="str">
        <f>"PARIS"</f>
        <v>PARIS</v>
      </c>
      <c r="L1527" s="1">
        <v>43125</v>
      </c>
      <c r="M1527" t="str">
        <f t="shared" si="252"/>
        <v>124</v>
      </c>
      <c r="N1527" t="str">
        <f t="shared" si="253"/>
        <v>Centre de Santé</v>
      </c>
      <c r="O1527" t="str">
        <f>"60"</f>
        <v>60</v>
      </c>
      <c r="P1527" t="str">
        <f>"Association Loi 1901 non Reconnue d'Utilité Publique"</f>
        <v>Association Loi 1901 non Reconnue d'Utilité Publique</v>
      </c>
      <c r="Q1527" t="str">
        <f t="shared" si="260"/>
        <v>36</v>
      </c>
      <c r="R1527" t="str">
        <f t="shared" si="261"/>
        <v>Tarifs conventionnels assurance maladie</v>
      </c>
      <c r="U1527" t="str">
        <f>"750061236"</f>
        <v>750061236</v>
      </c>
    </row>
    <row r="1528" spans="1:21" x14ac:dyDescent="0.3">
      <c r="A1528" t="str">
        <f>"920032323"</f>
        <v>920032323</v>
      </c>
      <c r="D1528" t="str">
        <f>"CDS DENTAIRE DE BOIS-COLOMBES"</f>
        <v>CDS DENTAIRE DE BOIS-COLOMBES</v>
      </c>
      <c r="F1528" t="str">
        <f>"23 RUE DU CAPITAINE GUYNEMER"</f>
        <v>23 RUE DU CAPITAINE GUYNEMER</v>
      </c>
      <c r="H1528" t="str">
        <f>"92270"</f>
        <v>92270</v>
      </c>
      <c r="I1528" t="str">
        <f>"BOIS COLOMBES"</f>
        <v>BOIS COLOMBES</v>
      </c>
      <c r="L1528" s="1">
        <v>43125</v>
      </c>
      <c r="M1528" t="str">
        <f t="shared" si="252"/>
        <v>124</v>
      </c>
      <c r="N1528" t="str">
        <f t="shared" si="253"/>
        <v>Centre de Santé</v>
      </c>
      <c r="O1528" t="str">
        <f>"60"</f>
        <v>60</v>
      </c>
      <c r="P1528" t="str">
        <f>"Association Loi 1901 non Reconnue d'Utilité Publique"</f>
        <v>Association Loi 1901 non Reconnue d'Utilité Publique</v>
      </c>
      <c r="Q1528" t="str">
        <f t="shared" si="260"/>
        <v>36</v>
      </c>
      <c r="R1528" t="str">
        <f t="shared" si="261"/>
        <v>Tarifs conventionnels assurance maladie</v>
      </c>
      <c r="U1528" t="str">
        <f>"920032315"</f>
        <v>920032315</v>
      </c>
    </row>
    <row r="1529" spans="1:21" x14ac:dyDescent="0.3">
      <c r="A1529" t="str">
        <f>"300018017"</f>
        <v>300018017</v>
      </c>
      <c r="B1529" t="str">
        <f>"775 685 316 03839"</f>
        <v>775 685 316 03839</v>
      </c>
      <c r="D1529" t="str">
        <f>"CENTRE DE SANTE FILIERIS DE SALINDRES"</f>
        <v>CENTRE DE SANTE FILIERIS DE SALINDRES</v>
      </c>
      <c r="F1529" t="str">
        <f>"33 RUE HENRI MERLE"</f>
        <v>33 RUE HENRI MERLE</v>
      </c>
      <c r="H1529" t="str">
        <f>"30340"</f>
        <v>30340</v>
      </c>
      <c r="I1529" t="str">
        <f>"SALINDRES"</f>
        <v>SALINDRES</v>
      </c>
      <c r="J1529" t="str">
        <f>"04 28 66 00 44 "</f>
        <v xml:space="preserve">04 28 66 00 44 </v>
      </c>
      <c r="K1529" t="str">
        <f>"04 28 66 00 48"</f>
        <v>04 28 66 00 48</v>
      </c>
      <c r="L1529" s="1">
        <v>43122</v>
      </c>
      <c r="M1529" t="str">
        <f t="shared" si="252"/>
        <v>124</v>
      </c>
      <c r="N1529" t="str">
        <f t="shared" si="253"/>
        <v>Centre de Santé</v>
      </c>
      <c r="O1529" t="str">
        <f>"41"</f>
        <v>41</v>
      </c>
      <c r="P1529" t="str">
        <f>"Régime Spécial de Sécurité Sociale"</f>
        <v>Régime Spécial de Sécurité Sociale</v>
      </c>
      <c r="Q1529" t="str">
        <f t="shared" si="260"/>
        <v>36</v>
      </c>
      <c r="R1529" t="str">
        <f t="shared" si="261"/>
        <v>Tarifs conventionnels assurance maladie</v>
      </c>
      <c r="U1529" t="str">
        <f>"750050759"</f>
        <v>750050759</v>
      </c>
    </row>
    <row r="1530" spans="1:21" x14ac:dyDescent="0.3">
      <c r="A1530" t="str">
        <f>"750061160"</f>
        <v>750061160</v>
      </c>
      <c r="D1530" t="str">
        <f>"CDS DENTAIRE ELISE REPUBLIQUE"</f>
        <v>CDS DENTAIRE ELISE REPUBLIQUE</v>
      </c>
      <c r="F1530" t="str">
        <f>"27 BOULEVARD JULES FERRY"</f>
        <v>27 BOULEVARD JULES FERRY</v>
      </c>
      <c r="H1530" t="str">
        <f>"75011"</f>
        <v>75011</v>
      </c>
      <c r="I1530" t="str">
        <f>"PARIS"</f>
        <v>PARIS</v>
      </c>
      <c r="L1530" s="1">
        <v>43119</v>
      </c>
      <c r="M1530" t="str">
        <f t="shared" si="252"/>
        <v>124</v>
      </c>
      <c r="N1530" t="str">
        <f t="shared" si="253"/>
        <v>Centre de Santé</v>
      </c>
      <c r="O1530" t="str">
        <f t="shared" ref="O1530:O1537" si="262">"60"</f>
        <v>60</v>
      </c>
      <c r="P1530" t="str">
        <f t="shared" ref="P1530:P1537" si="263">"Association Loi 1901 non Reconnue d'Utilité Publique"</f>
        <v>Association Loi 1901 non Reconnue d'Utilité Publique</v>
      </c>
      <c r="Q1530" t="str">
        <f t="shared" si="260"/>
        <v>36</v>
      </c>
      <c r="R1530" t="str">
        <f t="shared" si="261"/>
        <v>Tarifs conventionnels assurance maladie</v>
      </c>
      <c r="U1530" t="str">
        <f>"750061152"</f>
        <v>750061152</v>
      </c>
    </row>
    <row r="1531" spans="1:21" x14ac:dyDescent="0.3">
      <c r="A1531" t="str">
        <f>"310027693"</f>
        <v>310027693</v>
      </c>
      <c r="B1531" t="str">
        <f>"829 440 817 00015"</f>
        <v>829 440 817 00015</v>
      </c>
      <c r="D1531" t="str">
        <f>"CDS DENTAIRE LIRIDENT"</f>
        <v>CDS DENTAIRE LIRIDENT</v>
      </c>
      <c r="F1531" t="str">
        <f>"8 RUE DE LOURDES"</f>
        <v>8 RUE DE LOURDES</v>
      </c>
      <c r="H1531" t="str">
        <f>"31300"</f>
        <v>31300</v>
      </c>
      <c r="I1531" t="str">
        <f>"TOULOUSE"</f>
        <v>TOULOUSE</v>
      </c>
      <c r="J1531" t="str">
        <f>"06 80 40 02 56 "</f>
        <v xml:space="preserve">06 80 40 02 56 </v>
      </c>
      <c r="L1531" s="1">
        <v>43118</v>
      </c>
      <c r="M1531" t="str">
        <f t="shared" si="252"/>
        <v>124</v>
      </c>
      <c r="N1531" t="str">
        <f t="shared" si="253"/>
        <v>Centre de Santé</v>
      </c>
      <c r="O1531" t="str">
        <f t="shared" si="262"/>
        <v>60</v>
      </c>
      <c r="P1531" t="str">
        <f t="shared" si="263"/>
        <v>Association Loi 1901 non Reconnue d'Utilité Publique</v>
      </c>
      <c r="Q1531" t="str">
        <f>"99"</f>
        <v>99</v>
      </c>
      <c r="R1531" t="str">
        <f>"Indéterminé"</f>
        <v>Indéterminé</v>
      </c>
      <c r="U1531" t="str">
        <f>"310027685"</f>
        <v>310027685</v>
      </c>
    </row>
    <row r="1532" spans="1:21" x14ac:dyDescent="0.3">
      <c r="A1532" t="str">
        <f>"750061129"</f>
        <v>750061129</v>
      </c>
      <c r="B1532" t="str">
        <f>"830 073 276 00040"</f>
        <v>830 073 276 00040</v>
      </c>
      <c r="D1532" t="str">
        <f>"CDS DENTAIRE RICHELIEU"</f>
        <v>CDS DENTAIRE RICHELIEU</v>
      </c>
      <c r="F1532" t="str">
        <f>"84 RUE RICHELIEU"</f>
        <v>84 RUE RICHELIEU</v>
      </c>
      <c r="H1532" t="str">
        <f>"75002"</f>
        <v>75002</v>
      </c>
      <c r="I1532" t="str">
        <f>"PARIS"</f>
        <v>PARIS</v>
      </c>
      <c r="J1532" t="str">
        <f>"01 86 90 14 35 "</f>
        <v xml:space="preserve">01 86 90 14 35 </v>
      </c>
      <c r="L1532" s="1">
        <v>43116</v>
      </c>
      <c r="M1532" t="str">
        <f t="shared" si="252"/>
        <v>124</v>
      </c>
      <c r="N1532" t="str">
        <f t="shared" si="253"/>
        <v>Centre de Santé</v>
      </c>
      <c r="O1532" t="str">
        <f t="shared" si="262"/>
        <v>60</v>
      </c>
      <c r="P1532" t="str">
        <f t="shared" si="263"/>
        <v>Association Loi 1901 non Reconnue d'Utilité Publique</v>
      </c>
      <c r="Q1532" t="str">
        <f t="shared" ref="Q1532:Q1566" si="264">"36"</f>
        <v>36</v>
      </c>
      <c r="R1532" t="str">
        <f t="shared" ref="R1532:R1566" si="265">"Tarifs conventionnels assurance maladie"</f>
        <v>Tarifs conventionnels assurance maladie</v>
      </c>
      <c r="U1532" t="str">
        <f>"750060345"</f>
        <v>750060345</v>
      </c>
    </row>
    <row r="1533" spans="1:21" x14ac:dyDescent="0.3">
      <c r="A1533" t="str">
        <f>"920032281"</f>
        <v>920032281</v>
      </c>
      <c r="D1533" t="str">
        <f>"CDS DENTAIRE ASNIERES"</f>
        <v>CDS DENTAIRE ASNIERES</v>
      </c>
      <c r="F1533" t="str">
        <f>"3 AVENUE DE LA REDOUTE"</f>
        <v>3 AVENUE DE LA REDOUTE</v>
      </c>
      <c r="H1533" t="str">
        <f>"92600"</f>
        <v>92600</v>
      </c>
      <c r="I1533" t="str">
        <f>"ASNIERES SUR SEINE"</f>
        <v>ASNIERES SUR SEINE</v>
      </c>
      <c r="L1533" s="1">
        <v>43116</v>
      </c>
      <c r="M1533" t="str">
        <f t="shared" si="252"/>
        <v>124</v>
      </c>
      <c r="N1533" t="str">
        <f t="shared" si="253"/>
        <v>Centre de Santé</v>
      </c>
      <c r="O1533" t="str">
        <f t="shared" si="262"/>
        <v>60</v>
      </c>
      <c r="P1533" t="str">
        <f t="shared" si="263"/>
        <v>Association Loi 1901 non Reconnue d'Utilité Publique</v>
      </c>
      <c r="Q1533" t="str">
        <f t="shared" si="264"/>
        <v>36</v>
      </c>
      <c r="R1533" t="str">
        <f t="shared" si="265"/>
        <v>Tarifs conventionnels assurance maladie</v>
      </c>
      <c r="U1533" t="str">
        <f>"930026232"</f>
        <v>930026232</v>
      </c>
    </row>
    <row r="1534" spans="1:21" x14ac:dyDescent="0.3">
      <c r="A1534" t="str">
        <f>"750061095"</f>
        <v>750061095</v>
      </c>
      <c r="B1534" t="str">
        <f>"830 073 276 00057"</f>
        <v>830 073 276 00057</v>
      </c>
      <c r="D1534" t="str">
        <f>"CDS DENTAIRE VOLTAIRE"</f>
        <v>CDS DENTAIRE VOLTAIRE</v>
      </c>
      <c r="F1534" t="str">
        <f>"55 BOULEVARD VOLTAIRE"</f>
        <v>55 BOULEVARD VOLTAIRE</v>
      </c>
      <c r="H1534" t="str">
        <f>"75011"</f>
        <v>75011</v>
      </c>
      <c r="I1534" t="str">
        <f>"PARIS"</f>
        <v>PARIS</v>
      </c>
      <c r="J1534" t="str">
        <f>"01 85 11 10 11 "</f>
        <v xml:space="preserve">01 85 11 10 11 </v>
      </c>
      <c r="L1534" s="1">
        <v>43112</v>
      </c>
      <c r="M1534" t="str">
        <f t="shared" si="252"/>
        <v>124</v>
      </c>
      <c r="N1534" t="str">
        <f t="shared" si="253"/>
        <v>Centre de Santé</v>
      </c>
      <c r="O1534" t="str">
        <f t="shared" si="262"/>
        <v>60</v>
      </c>
      <c r="P1534" t="str">
        <f t="shared" si="263"/>
        <v>Association Loi 1901 non Reconnue d'Utilité Publique</v>
      </c>
      <c r="Q1534" t="str">
        <f t="shared" si="264"/>
        <v>36</v>
      </c>
      <c r="R1534" t="str">
        <f t="shared" si="265"/>
        <v>Tarifs conventionnels assurance maladie</v>
      </c>
      <c r="U1534" t="str">
        <f>"750060345"</f>
        <v>750060345</v>
      </c>
    </row>
    <row r="1535" spans="1:21" x14ac:dyDescent="0.3">
      <c r="A1535" t="str">
        <f>"750061111"</f>
        <v>750061111</v>
      </c>
      <c r="D1535" t="str">
        <f>"CDS DENTAIRE MARX DORMOY"</f>
        <v>CDS DENTAIRE MARX DORMOY</v>
      </c>
      <c r="F1535" t="str">
        <f>"4 RUE DE LA CHAPELLE"</f>
        <v>4 RUE DE LA CHAPELLE</v>
      </c>
      <c r="H1535" t="str">
        <f>"75018"</f>
        <v>75018</v>
      </c>
      <c r="I1535" t="str">
        <f>"PARIS"</f>
        <v>PARIS</v>
      </c>
      <c r="L1535" s="1">
        <v>43112</v>
      </c>
      <c r="M1535" t="str">
        <f t="shared" si="252"/>
        <v>124</v>
      </c>
      <c r="N1535" t="str">
        <f t="shared" si="253"/>
        <v>Centre de Santé</v>
      </c>
      <c r="O1535" t="str">
        <f t="shared" si="262"/>
        <v>60</v>
      </c>
      <c r="P1535" t="str">
        <f t="shared" si="263"/>
        <v>Association Loi 1901 non Reconnue d'Utilité Publique</v>
      </c>
      <c r="Q1535" t="str">
        <f t="shared" si="264"/>
        <v>36</v>
      </c>
      <c r="R1535" t="str">
        <f t="shared" si="265"/>
        <v>Tarifs conventionnels assurance maladie</v>
      </c>
      <c r="U1535" t="str">
        <f>"750061103"</f>
        <v>750061103</v>
      </c>
    </row>
    <row r="1536" spans="1:21" x14ac:dyDescent="0.3">
      <c r="A1536" t="str">
        <f>"950043695"</f>
        <v>950043695</v>
      </c>
      <c r="D1536" t="str">
        <f>"CDS MÉDICO-DENTAIRE DEUIL LA BARRE"</f>
        <v>CDS MÉDICO-DENTAIRE DEUIL LA BARRE</v>
      </c>
      <c r="F1536" t="str">
        <f>"2 AVENUE DU COMMANDANT MANOUKIAN"</f>
        <v>2 AVENUE DU COMMANDANT MANOUKIAN</v>
      </c>
      <c r="H1536" t="str">
        <f>"95170"</f>
        <v>95170</v>
      </c>
      <c r="I1536" t="str">
        <f>"DEUIL LA BARRE"</f>
        <v>DEUIL LA BARRE</v>
      </c>
      <c r="L1536" s="1">
        <v>43112</v>
      </c>
      <c r="M1536" t="str">
        <f t="shared" si="252"/>
        <v>124</v>
      </c>
      <c r="N1536" t="str">
        <f t="shared" si="253"/>
        <v>Centre de Santé</v>
      </c>
      <c r="O1536" t="str">
        <f t="shared" si="262"/>
        <v>60</v>
      </c>
      <c r="P1536" t="str">
        <f t="shared" si="263"/>
        <v>Association Loi 1901 non Reconnue d'Utilité Publique</v>
      </c>
      <c r="Q1536" t="str">
        <f t="shared" si="264"/>
        <v>36</v>
      </c>
      <c r="R1536" t="str">
        <f t="shared" si="265"/>
        <v>Tarifs conventionnels assurance maladie</v>
      </c>
      <c r="U1536" t="str">
        <f>"950042960"</f>
        <v>950042960</v>
      </c>
    </row>
    <row r="1537" spans="1:21" x14ac:dyDescent="0.3">
      <c r="A1537" t="str">
        <f>"750061079"</f>
        <v>750061079</v>
      </c>
      <c r="B1537" t="str">
        <f>"830 073 276 00032"</f>
        <v>830 073 276 00032</v>
      </c>
      <c r="D1537" t="str">
        <f>"CDS DENTAIRE LES HALLES"</f>
        <v>CDS DENTAIRE LES HALLES</v>
      </c>
      <c r="F1537" t="str">
        <f>"100 RUE SAINT-DENIS"</f>
        <v>100 RUE SAINT-DENIS</v>
      </c>
      <c r="H1537" t="str">
        <f>"75001"</f>
        <v>75001</v>
      </c>
      <c r="I1537" t="str">
        <f>"PARIS"</f>
        <v>PARIS</v>
      </c>
      <c r="J1537" t="str">
        <f>"01 89 90 14 30 "</f>
        <v xml:space="preserve">01 89 90 14 30 </v>
      </c>
      <c r="L1537" s="1">
        <v>43110</v>
      </c>
      <c r="M1537" t="str">
        <f t="shared" si="252"/>
        <v>124</v>
      </c>
      <c r="N1537" t="str">
        <f t="shared" si="253"/>
        <v>Centre de Santé</v>
      </c>
      <c r="O1537" t="str">
        <f t="shared" si="262"/>
        <v>60</v>
      </c>
      <c r="P1537" t="str">
        <f t="shared" si="263"/>
        <v>Association Loi 1901 non Reconnue d'Utilité Publique</v>
      </c>
      <c r="Q1537" t="str">
        <f t="shared" si="264"/>
        <v>36</v>
      </c>
      <c r="R1537" t="str">
        <f t="shared" si="265"/>
        <v>Tarifs conventionnels assurance maladie</v>
      </c>
      <c r="U1537" t="str">
        <f>"750060345"</f>
        <v>750060345</v>
      </c>
    </row>
    <row r="1538" spans="1:21" x14ac:dyDescent="0.3">
      <c r="A1538" t="str">
        <f>"280503228"</f>
        <v>280503228</v>
      </c>
      <c r="B1538" t="str">
        <f>"262 800 493 00328"</f>
        <v>262 800 493 00328</v>
      </c>
      <c r="D1538" t="str">
        <f>"SERVICE DE SOINS ET DE PREVENTION"</f>
        <v>SERVICE DE SOINS ET DE PREVENTION</v>
      </c>
      <c r="F1538" t="str">
        <f>"32 RUE DE BRETIGNY"</f>
        <v>32 RUE DE BRETIGNY</v>
      </c>
      <c r="H1538" t="str">
        <f>"28000"</f>
        <v>28000</v>
      </c>
      <c r="I1538" t="str">
        <f>"CHARTRES"</f>
        <v>CHARTRES</v>
      </c>
      <c r="J1538" t="str">
        <f>"02 36 67 31 40 "</f>
        <v xml:space="preserve">02 36 67 31 40 </v>
      </c>
      <c r="K1538" t="str">
        <f>"02 37 25 60 80"</f>
        <v>02 37 25 60 80</v>
      </c>
      <c r="L1538" s="1">
        <v>43108</v>
      </c>
      <c r="M1538" t="str">
        <f t="shared" ref="M1538:M1601" si="266">"124"</f>
        <v>124</v>
      </c>
      <c r="N1538" t="str">
        <f t="shared" ref="N1538:N1601" si="267">"Centre de Santé"</f>
        <v>Centre de Santé</v>
      </c>
      <c r="O1538" t="str">
        <f>"17"</f>
        <v>17</v>
      </c>
      <c r="P1538" t="str">
        <f>"Centre Communal d'Action Sociale"</f>
        <v>Centre Communal d'Action Sociale</v>
      </c>
      <c r="Q1538" t="str">
        <f t="shared" si="264"/>
        <v>36</v>
      </c>
      <c r="R1538" t="str">
        <f t="shared" si="265"/>
        <v>Tarifs conventionnels assurance maladie</v>
      </c>
      <c r="U1538" t="str">
        <f>"280503962"</f>
        <v>280503962</v>
      </c>
    </row>
    <row r="1539" spans="1:21" x14ac:dyDescent="0.3">
      <c r="A1539" t="str">
        <f>"760037192"</f>
        <v>760037192</v>
      </c>
      <c r="B1539" t="str">
        <f>"834 027 575 00010"</f>
        <v>834 027 575 00010</v>
      </c>
      <c r="D1539" t="str">
        <f>"CTRE DE SANTE ALADENT - BOSC LE HARD"</f>
        <v>CTRE DE SANTE ALADENT - BOSC LE HARD</v>
      </c>
      <c r="F1539" t="str">
        <f>"CHEMIN DES SOUPIRS"</f>
        <v>CHEMIN DES SOUPIRS</v>
      </c>
      <c r="H1539" t="str">
        <f>"76850"</f>
        <v>76850</v>
      </c>
      <c r="I1539" t="str">
        <f>"BOSC LE HARD"</f>
        <v>BOSC LE HARD</v>
      </c>
      <c r="L1539" s="1">
        <v>43108</v>
      </c>
      <c r="M1539" t="str">
        <f t="shared" si="266"/>
        <v>124</v>
      </c>
      <c r="N1539" t="str">
        <f t="shared" si="267"/>
        <v>Centre de Santé</v>
      </c>
      <c r="O1539" t="str">
        <f>"60"</f>
        <v>60</v>
      </c>
      <c r="P1539" t="str">
        <f>"Association Loi 1901 non Reconnue d'Utilité Publique"</f>
        <v>Association Loi 1901 non Reconnue d'Utilité Publique</v>
      </c>
      <c r="Q1539" t="str">
        <f t="shared" si="264"/>
        <v>36</v>
      </c>
      <c r="R1539" t="str">
        <f t="shared" si="265"/>
        <v>Tarifs conventionnels assurance maladie</v>
      </c>
      <c r="U1539" t="str">
        <f>"760037184"</f>
        <v>760037184</v>
      </c>
    </row>
    <row r="1540" spans="1:21" x14ac:dyDescent="0.3">
      <c r="A1540" t="str">
        <f>"680021383"</f>
        <v>680021383</v>
      </c>
      <c r="B1540" t="str">
        <f>"408 090 116 00240"</f>
        <v>408 090 116 00240</v>
      </c>
      <c r="D1540" t="str">
        <f>"CSI FOYERS SAINT JOSEPH"</f>
        <v>CSI FOYERS SAINT JOSEPH</v>
      </c>
      <c r="F1540" t="str">
        <f>"15 RUE DU KATTENBACHY"</f>
        <v>15 RUE DU KATTENBACHY</v>
      </c>
      <c r="H1540" t="str">
        <f>"68800"</f>
        <v>68800</v>
      </c>
      <c r="I1540" t="str">
        <f>"THANN"</f>
        <v>THANN</v>
      </c>
      <c r="J1540" t="str">
        <f>"03 89 37 07 04 "</f>
        <v xml:space="preserve">03 89 37 07 04 </v>
      </c>
      <c r="L1540" s="1">
        <v>43104</v>
      </c>
      <c r="M1540" t="str">
        <f t="shared" si="266"/>
        <v>124</v>
      </c>
      <c r="N1540" t="str">
        <f t="shared" si="267"/>
        <v>Centre de Santé</v>
      </c>
      <c r="O1540" t="str">
        <f>"63"</f>
        <v>63</v>
      </c>
      <c r="P1540" t="str">
        <f>"Fondation"</f>
        <v>Fondation</v>
      </c>
      <c r="Q1540" t="str">
        <f t="shared" si="264"/>
        <v>36</v>
      </c>
      <c r="R1540" t="str">
        <f t="shared" si="265"/>
        <v>Tarifs conventionnels assurance maladie</v>
      </c>
      <c r="U1540" t="str">
        <f>"680015963"</f>
        <v>680015963</v>
      </c>
    </row>
    <row r="1541" spans="1:21" x14ac:dyDescent="0.3">
      <c r="A1541" t="str">
        <f>"020017000"</f>
        <v>020017000</v>
      </c>
      <c r="D1541" t="str">
        <f>"CSI AMSAM VIC SUR AISNE"</f>
        <v>CSI AMSAM VIC SUR AISNE</v>
      </c>
      <c r="F1541" t="str">
        <f>"2 RUE ST-CHRISTOPHE"</f>
        <v>2 RUE ST-CHRISTOPHE</v>
      </c>
      <c r="H1541" t="str">
        <f>"02290"</f>
        <v>02290</v>
      </c>
      <c r="I1541" t="str">
        <f>"VIC SUR AISNE"</f>
        <v>VIC SUR AISNE</v>
      </c>
      <c r="J1541" t="str">
        <f>"03 23 75 51 08 "</f>
        <v xml:space="preserve">03 23 75 51 08 </v>
      </c>
      <c r="L1541" s="1">
        <v>43102</v>
      </c>
      <c r="M1541" t="str">
        <f t="shared" si="266"/>
        <v>124</v>
      </c>
      <c r="N1541" t="str">
        <f t="shared" si="267"/>
        <v>Centre de Santé</v>
      </c>
      <c r="O1541" t="str">
        <f>"61"</f>
        <v>61</v>
      </c>
      <c r="P1541" t="str">
        <f>"Association Loi 1901 Reconnue d'Utilité Publique"</f>
        <v>Association Loi 1901 Reconnue d'Utilité Publique</v>
      </c>
      <c r="Q1541" t="str">
        <f t="shared" si="264"/>
        <v>36</v>
      </c>
      <c r="R1541" t="str">
        <f t="shared" si="265"/>
        <v>Tarifs conventionnels assurance maladie</v>
      </c>
      <c r="U1541" t="str">
        <f>"020005179"</f>
        <v>020005179</v>
      </c>
    </row>
    <row r="1542" spans="1:21" x14ac:dyDescent="0.3">
      <c r="A1542" t="str">
        <f>"310028378"</f>
        <v>310028378</v>
      </c>
      <c r="B1542" t="str">
        <f>"802 925 396 00037"</f>
        <v>802 925 396 00037</v>
      </c>
      <c r="D1542" t="str">
        <f>"CDS AGIR ENSEMBLE PINS JUSTARET"</f>
        <v>CDS AGIR ENSEMBLE PINS JUSTARET</v>
      </c>
      <c r="F1542" t="str">
        <f>"21 RUE SAINTE BARBE"</f>
        <v>21 RUE SAINTE BARBE</v>
      </c>
      <c r="H1542" t="str">
        <f>"31860"</f>
        <v>31860</v>
      </c>
      <c r="I1542" t="str">
        <f>"PINS JUSTARET"</f>
        <v>PINS JUSTARET</v>
      </c>
      <c r="J1542" t="str">
        <f>"06 11 90 04 37 "</f>
        <v xml:space="preserve">06 11 90 04 37 </v>
      </c>
      <c r="L1542" s="1">
        <v>43102</v>
      </c>
      <c r="M1542" t="str">
        <f t="shared" si="266"/>
        <v>124</v>
      </c>
      <c r="N1542" t="str">
        <f t="shared" si="267"/>
        <v>Centre de Santé</v>
      </c>
      <c r="O1542" t="str">
        <f>"60"</f>
        <v>60</v>
      </c>
      <c r="P1542" t="str">
        <f>"Association Loi 1901 non Reconnue d'Utilité Publique"</f>
        <v>Association Loi 1901 non Reconnue d'Utilité Publique</v>
      </c>
      <c r="Q1542" t="str">
        <f t="shared" si="264"/>
        <v>36</v>
      </c>
      <c r="R1542" t="str">
        <f t="shared" si="265"/>
        <v>Tarifs conventionnels assurance maladie</v>
      </c>
      <c r="U1542" t="str">
        <f>"310025671"</f>
        <v>310025671</v>
      </c>
    </row>
    <row r="1543" spans="1:21" x14ac:dyDescent="0.3">
      <c r="A1543" t="str">
        <f>"590060042"</f>
        <v>590060042</v>
      </c>
      <c r="B1543" t="str">
        <f>"832 821 474 00018"</f>
        <v>832 821 474 00018</v>
      </c>
      <c r="D1543" t="str">
        <f>"C S INFIRMIER SOIGNONS HUMAIN"</f>
        <v>C S INFIRMIER SOIGNONS HUMAIN</v>
      </c>
      <c r="F1543" t="str">
        <f>"2 ROUTE D'ORCHIES"</f>
        <v>2 ROUTE D'ORCHIES</v>
      </c>
      <c r="H1543" t="str">
        <f>"59870"</f>
        <v>59870</v>
      </c>
      <c r="I1543" t="str">
        <f>"MARCHIENNES"</f>
        <v>MARCHIENNES</v>
      </c>
      <c r="L1543" s="1">
        <v>43102</v>
      </c>
      <c r="M1543" t="str">
        <f t="shared" si="266"/>
        <v>124</v>
      </c>
      <c r="N1543" t="str">
        <f t="shared" si="267"/>
        <v>Centre de Santé</v>
      </c>
      <c r="O1543" t="str">
        <f>"61"</f>
        <v>61</v>
      </c>
      <c r="P1543" t="str">
        <f>"Association Loi 1901 Reconnue d'Utilité Publique"</f>
        <v>Association Loi 1901 Reconnue d'Utilité Publique</v>
      </c>
      <c r="Q1543" t="str">
        <f t="shared" si="264"/>
        <v>36</v>
      </c>
      <c r="R1543" t="str">
        <f t="shared" si="265"/>
        <v>Tarifs conventionnels assurance maladie</v>
      </c>
      <c r="U1543" t="str">
        <f>"590060034"</f>
        <v>590060034</v>
      </c>
    </row>
    <row r="1544" spans="1:21" x14ac:dyDescent="0.3">
      <c r="A1544" t="str">
        <f>"830024246"</f>
        <v>830024246</v>
      </c>
      <c r="B1544" t="str">
        <f>"334 898 640 00035"</f>
        <v>334 898 640 00035</v>
      </c>
      <c r="D1544" t="str">
        <f>"CDS MEDICAL AVODD (NEPHROLOGIQUE)"</f>
        <v>CDS MEDICAL AVODD (NEPHROLOGIQUE)</v>
      </c>
      <c r="E1544" t="str">
        <f>"SITE HIA SAINTE ANNE"</f>
        <v>SITE HIA SAINTE ANNE</v>
      </c>
      <c r="F1544" t="str">
        <f>"2 BOULEVARD SAINTE ANNE"</f>
        <v>2 BOULEVARD SAINTE ANNE</v>
      </c>
      <c r="H1544" t="str">
        <f>"83000"</f>
        <v>83000</v>
      </c>
      <c r="I1544" t="str">
        <f>"TOULON"</f>
        <v>TOULON</v>
      </c>
      <c r="J1544" t="str">
        <f>"04 94 12 83 83 "</f>
        <v xml:space="preserve">04 94 12 83 83 </v>
      </c>
      <c r="L1544" s="1">
        <v>43102</v>
      </c>
      <c r="M1544" t="str">
        <f t="shared" si="266"/>
        <v>124</v>
      </c>
      <c r="N1544" t="str">
        <f t="shared" si="267"/>
        <v>Centre de Santé</v>
      </c>
      <c r="O1544" t="str">
        <f>"65"</f>
        <v>65</v>
      </c>
      <c r="P1544" t="str">
        <f>"Autre Organisme Privé à But non Lucratif"</f>
        <v>Autre Organisme Privé à But non Lucratif</v>
      </c>
      <c r="Q1544" t="str">
        <f t="shared" si="264"/>
        <v>36</v>
      </c>
      <c r="R1544" t="str">
        <f t="shared" si="265"/>
        <v>Tarifs conventionnels assurance maladie</v>
      </c>
      <c r="U1544" t="str">
        <f>"830002119"</f>
        <v>830002119</v>
      </c>
    </row>
    <row r="1545" spans="1:21" x14ac:dyDescent="0.3">
      <c r="A1545" t="str">
        <f>"140031683"</f>
        <v>140031683</v>
      </c>
      <c r="B1545" t="str">
        <f>"834 195 232 00048"</f>
        <v>834 195 232 00048</v>
      </c>
      <c r="D1545" t="str">
        <f>"SOS INFIRMIERS CAEN"</f>
        <v>SOS INFIRMIERS CAEN</v>
      </c>
      <c r="F1545" t="str">
        <f>"10 RUE DU CHATEAU D'EAU"</f>
        <v>10 RUE DU CHATEAU D'EAU</v>
      </c>
      <c r="H1545" t="str">
        <f>"14000"</f>
        <v>14000</v>
      </c>
      <c r="I1545" t="str">
        <f>"CAEN"</f>
        <v>CAEN</v>
      </c>
      <c r="J1545" t="str">
        <f>"02 21 00 22 00 "</f>
        <v xml:space="preserve">02 21 00 22 00 </v>
      </c>
      <c r="L1545" s="1">
        <v>43101</v>
      </c>
      <c r="M1545" t="str">
        <f t="shared" si="266"/>
        <v>124</v>
      </c>
      <c r="N1545" t="str">
        <f t="shared" si="267"/>
        <v>Centre de Santé</v>
      </c>
      <c r="O1545" t="str">
        <f t="shared" ref="O1545:O1553" si="268">"60"</f>
        <v>60</v>
      </c>
      <c r="P1545" t="str">
        <f t="shared" ref="P1545:P1553" si="269">"Association Loi 1901 non Reconnue d'Utilité Publique"</f>
        <v>Association Loi 1901 non Reconnue d'Utilité Publique</v>
      </c>
      <c r="Q1545" t="str">
        <f t="shared" si="264"/>
        <v>36</v>
      </c>
      <c r="R1545" t="str">
        <f t="shared" si="265"/>
        <v>Tarifs conventionnels assurance maladie</v>
      </c>
      <c r="U1545" t="str">
        <f>"140031675"</f>
        <v>140031675</v>
      </c>
    </row>
    <row r="1546" spans="1:21" x14ac:dyDescent="0.3">
      <c r="A1546" t="str">
        <f>"140032855"</f>
        <v>140032855</v>
      </c>
      <c r="B1546" t="str">
        <f>"314 912 189 00110"</f>
        <v>314 912 189 00110</v>
      </c>
      <c r="D1546" t="str">
        <f>"CENTRE DE SANTE PIERRE NOAL LE BOIS"</f>
        <v>CENTRE DE SANTE PIERRE NOAL LE BOIS</v>
      </c>
      <c r="F1546" t="str">
        <f>"2 ALLEE DES BOISELLES"</f>
        <v>2 ALLEE DES BOISELLES</v>
      </c>
      <c r="G1546" t="str">
        <f>"BP 12"</f>
        <v>BP 12</v>
      </c>
      <c r="H1546" t="str">
        <f>"14200"</f>
        <v>14200</v>
      </c>
      <c r="I1546" t="str">
        <f>"HEROUVILLE ST CLAIR"</f>
        <v>HEROUVILLE ST CLAIR</v>
      </c>
      <c r="J1546" t="str">
        <f>"02 31 46 36 30 "</f>
        <v xml:space="preserve">02 31 46 36 30 </v>
      </c>
      <c r="L1546" s="1">
        <v>43101</v>
      </c>
      <c r="M1546" t="str">
        <f t="shared" si="266"/>
        <v>124</v>
      </c>
      <c r="N1546" t="str">
        <f t="shared" si="267"/>
        <v>Centre de Santé</v>
      </c>
      <c r="O1546" t="str">
        <f t="shared" si="268"/>
        <v>60</v>
      </c>
      <c r="P1546" t="str">
        <f t="shared" si="269"/>
        <v>Association Loi 1901 non Reconnue d'Utilité Publique</v>
      </c>
      <c r="Q1546" t="str">
        <f t="shared" si="264"/>
        <v>36</v>
      </c>
      <c r="R1546" t="str">
        <f t="shared" si="265"/>
        <v>Tarifs conventionnels assurance maladie</v>
      </c>
      <c r="U1546" t="str">
        <f>"610787285"</f>
        <v>610787285</v>
      </c>
    </row>
    <row r="1547" spans="1:21" x14ac:dyDescent="0.3">
      <c r="A1547" t="str">
        <f>"750061053"</f>
        <v>750061053</v>
      </c>
      <c r="D1547" t="str">
        <f>"CDS MEDICO-DENTAIRE DENTAL-IN JAVEL"</f>
        <v>CDS MEDICO-DENTAIRE DENTAL-IN JAVEL</v>
      </c>
      <c r="F1547" t="str">
        <f>"6 RUE AUGUSTE VITU"</f>
        <v>6 RUE AUGUSTE VITU</v>
      </c>
      <c r="H1547" t="str">
        <f>"75015"</f>
        <v>75015</v>
      </c>
      <c r="I1547" t="str">
        <f>"PARIS"</f>
        <v>PARIS</v>
      </c>
      <c r="L1547" s="1">
        <v>43091</v>
      </c>
      <c r="M1547" t="str">
        <f t="shared" si="266"/>
        <v>124</v>
      </c>
      <c r="N1547" t="str">
        <f t="shared" si="267"/>
        <v>Centre de Santé</v>
      </c>
      <c r="O1547" t="str">
        <f t="shared" si="268"/>
        <v>60</v>
      </c>
      <c r="P1547" t="str">
        <f t="shared" si="269"/>
        <v>Association Loi 1901 non Reconnue d'Utilité Publique</v>
      </c>
      <c r="Q1547" t="str">
        <f t="shared" si="264"/>
        <v>36</v>
      </c>
      <c r="R1547" t="str">
        <f t="shared" si="265"/>
        <v>Tarifs conventionnels assurance maladie</v>
      </c>
      <c r="U1547" t="str">
        <f>"750061046"</f>
        <v>750061046</v>
      </c>
    </row>
    <row r="1548" spans="1:21" x14ac:dyDescent="0.3">
      <c r="A1548" t="str">
        <f>"930028055"</f>
        <v>930028055</v>
      </c>
      <c r="B1548" t="str">
        <f>"828 838 540 00015"</f>
        <v>828 838 540 00015</v>
      </c>
      <c r="D1548" t="str">
        <f>"CDS DENTAIRE BOURGET-COURNEUVE"</f>
        <v>CDS DENTAIRE BOURGET-COURNEUVE</v>
      </c>
      <c r="F1548" t="str">
        <f>"46 AVENUE DE LA DIVISION LECLERC"</f>
        <v>46 AVENUE DE LA DIVISION LECLERC</v>
      </c>
      <c r="H1548" t="str">
        <f>"93350"</f>
        <v>93350</v>
      </c>
      <c r="I1548" t="str">
        <f>"LE BOURGET"</f>
        <v>LE BOURGET</v>
      </c>
      <c r="J1548" t="str">
        <f>"06 98 88 35 34 "</f>
        <v xml:space="preserve">06 98 88 35 34 </v>
      </c>
      <c r="L1548" s="1">
        <v>43091</v>
      </c>
      <c r="M1548" t="str">
        <f t="shared" si="266"/>
        <v>124</v>
      </c>
      <c r="N1548" t="str">
        <f t="shared" si="267"/>
        <v>Centre de Santé</v>
      </c>
      <c r="O1548" t="str">
        <f t="shared" si="268"/>
        <v>60</v>
      </c>
      <c r="P1548" t="str">
        <f t="shared" si="269"/>
        <v>Association Loi 1901 non Reconnue d'Utilité Publique</v>
      </c>
      <c r="Q1548" t="str">
        <f t="shared" si="264"/>
        <v>36</v>
      </c>
      <c r="R1548" t="str">
        <f t="shared" si="265"/>
        <v>Tarifs conventionnels assurance maladie</v>
      </c>
      <c r="U1548" t="str">
        <f>"940023336"</f>
        <v>940023336</v>
      </c>
    </row>
    <row r="1549" spans="1:21" x14ac:dyDescent="0.3">
      <c r="A1549" t="str">
        <f>"920032182"</f>
        <v>920032182</v>
      </c>
      <c r="B1549" t="str">
        <f>"834 612 053 00019"</f>
        <v>834 612 053 00019</v>
      </c>
      <c r="D1549" t="str">
        <f>"CDS DENTAIRE COURBEVOIE LA DEFENSE"</f>
        <v>CDS DENTAIRE COURBEVOIE LA DEFENSE</v>
      </c>
      <c r="F1549" t="str">
        <f>"12 BOULEVARD DE LA MISSION MARCHAND"</f>
        <v>12 BOULEVARD DE LA MISSION MARCHAND</v>
      </c>
      <c r="H1549" t="str">
        <f>"92400"</f>
        <v>92400</v>
      </c>
      <c r="I1549" t="str">
        <f>"COURBEVOIE"</f>
        <v>COURBEVOIE</v>
      </c>
      <c r="J1549" t="str">
        <f>"01 84 23 04 23 "</f>
        <v xml:space="preserve">01 84 23 04 23 </v>
      </c>
      <c r="L1549" s="1">
        <v>43090</v>
      </c>
      <c r="M1549" t="str">
        <f t="shared" si="266"/>
        <v>124</v>
      </c>
      <c r="N1549" t="str">
        <f t="shared" si="267"/>
        <v>Centre de Santé</v>
      </c>
      <c r="O1549" t="str">
        <f t="shared" si="268"/>
        <v>60</v>
      </c>
      <c r="P1549" t="str">
        <f t="shared" si="269"/>
        <v>Association Loi 1901 non Reconnue d'Utilité Publique</v>
      </c>
      <c r="Q1549" t="str">
        <f t="shared" si="264"/>
        <v>36</v>
      </c>
      <c r="R1549" t="str">
        <f t="shared" si="265"/>
        <v>Tarifs conventionnels assurance maladie</v>
      </c>
      <c r="U1549" t="str">
        <f>"920032174"</f>
        <v>920032174</v>
      </c>
    </row>
    <row r="1550" spans="1:21" x14ac:dyDescent="0.3">
      <c r="A1550" t="str">
        <f>"920032208"</f>
        <v>920032208</v>
      </c>
      <c r="B1550" t="str">
        <f>"831 303 292 00013"</f>
        <v>831 303 292 00013</v>
      </c>
      <c r="D1550" t="str">
        <f>"CDS ACCESS RADIOLOGIE"</f>
        <v>CDS ACCESS RADIOLOGIE</v>
      </c>
      <c r="F1550" t="str">
        <f>"60 BOULEVARD VICTOR HUGO"</f>
        <v>60 BOULEVARD VICTOR HUGO</v>
      </c>
      <c r="H1550" t="str">
        <f>"92110"</f>
        <v>92110</v>
      </c>
      <c r="I1550" t="str">
        <f>"CLICHY"</f>
        <v>CLICHY</v>
      </c>
      <c r="J1550" t="str">
        <f>"06 42 74 62 20 "</f>
        <v xml:space="preserve">06 42 74 62 20 </v>
      </c>
      <c r="L1550" s="1">
        <v>43090</v>
      </c>
      <c r="M1550" t="str">
        <f t="shared" si="266"/>
        <v>124</v>
      </c>
      <c r="N1550" t="str">
        <f t="shared" si="267"/>
        <v>Centre de Santé</v>
      </c>
      <c r="O1550" t="str">
        <f t="shared" si="268"/>
        <v>60</v>
      </c>
      <c r="P1550" t="str">
        <f t="shared" si="269"/>
        <v>Association Loi 1901 non Reconnue d'Utilité Publique</v>
      </c>
      <c r="Q1550" t="str">
        <f t="shared" si="264"/>
        <v>36</v>
      </c>
      <c r="R1550" t="str">
        <f t="shared" si="265"/>
        <v>Tarifs conventionnels assurance maladie</v>
      </c>
      <c r="U1550" t="str">
        <f>"920032190"</f>
        <v>920032190</v>
      </c>
    </row>
    <row r="1551" spans="1:21" x14ac:dyDescent="0.3">
      <c r="A1551" t="str">
        <f>"910022433"</f>
        <v>910022433</v>
      </c>
      <c r="B1551" t="str">
        <f>"814 385 779 00024"</f>
        <v>814 385 779 00024</v>
      </c>
      <c r="D1551" t="str">
        <f>"CDS CAILLEBOTTE"</f>
        <v>CDS CAILLEBOTTE</v>
      </c>
      <c r="F1551" t="str">
        <f>"14 RUE PIERRE BROSSOLETTE"</f>
        <v>14 RUE PIERRE BROSSOLETTE</v>
      </c>
      <c r="H1551" t="str">
        <f>"91330"</f>
        <v>91330</v>
      </c>
      <c r="I1551" t="str">
        <f>"YERRES"</f>
        <v>YERRES</v>
      </c>
      <c r="J1551" t="str">
        <f>"01 69 38 15 90 "</f>
        <v xml:space="preserve">01 69 38 15 90 </v>
      </c>
      <c r="L1551" s="1">
        <v>43087</v>
      </c>
      <c r="M1551" t="str">
        <f t="shared" si="266"/>
        <v>124</v>
      </c>
      <c r="N1551" t="str">
        <f t="shared" si="267"/>
        <v>Centre de Santé</v>
      </c>
      <c r="O1551" t="str">
        <f t="shared" si="268"/>
        <v>60</v>
      </c>
      <c r="P1551" t="str">
        <f t="shared" si="269"/>
        <v>Association Loi 1901 non Reconnue d'Utilité Publique</v>
      </c>
      <c r="Q1551" t="str">
        <f t="shared" si="264"/>
        <v>36</v>
      </c>
      <c r="R1551" t="str">
        <f t="shared" si="265"/>
        <v>Tarifs conventionnels assurance maladie</v>
      </c>
      <c r="U1551" t="str">
        <f>"910022425"</f>
        <v>910022425</v>
      </c>
    </row>
    <row r="1552" spans="1:21" x14ac:dyDescent="0.3">
      <c r="A1552" t="str">
        <f>"750061038"</f>
        <v>750061038</v>
      </c>
      <c r="D1552" t="str">
        <f>"CDS MEDICO-DENTAIRE GARE EST"</f>
        <v>CDS MEDICO-DENTAIRE GARE EST</v>
      </c>
      <c r="F1552" t="str">
        <f>"80 BOULEVARD MAGENTA"</f>
        <v>80 BOULEVARD MAGENTA</v>
      </c>
      <c r="H1552" t="str">
        <f>"75010"</f>
        <v>75010</v>
      </c>
      <c r="I1552" t="str">
        <f>"PARIS"</f>
        <v>PARIS</v>
      </c>
      <c r="L1552" s="1">
        <v>43083</v>
      </c>
      <c r="M1552" t="str">
        <f t="shared" si="266"/>
        <v>124</v>
      </c>
      <c r="N1552" t="str">
        <f t="shared" si="267"/>
        <v>Centre de Santé</v>
      </c>
      <c r="O1552" t="str">
        <f t="shared" si="268"/>
        <v>60</v>
      </c>
      <c r="P1552" t="str">
        <f t="shared" si="269"/>
        <v>Association Loi 1901 non Reconnue d'Utilité Publique</v>
      </c>
      <c r="Q1552" t="str">
        <f t="shared" si="264"/>
        <v>36</v>
      </c>
      <c r="R1552" t="str">
        <f t="shared" si="265"/>
        <v>Tarifs conventionnels assurance maladie</v>
      </c>
      <c r="U1552" t="str">
        <f>"750061012"</f>
        <v>750061012</v>
      </c>
    </row>
    <row r="1553" spans="1:21" x14ac:dyDescent="0.3">
      <c r="A1553" t="str">
        <f>"940023880"</f>
        <v>940023880</v>
      </c>
      <c r="D1553" t="str">
        <f>"CDS DENTAIRE SAINT MAURICE"</f>
        <v>CDS DENTAIRE SAINT MAURICE</v>
      </c>
      <c r="F1553" t="str">
        <f>"125 RUE DU MARECHAL LECLERC"</f>
        <v>125 RUE DU MARECHAL LECLERC</v>
      </c>
      <c r="H1553" t="str">
        <f>"94410"</f>
        <v>94410</v>
      </c>
      <c r="I1553" t="str">
        <f>"ST MAURICE"</f>
        <v>ST MAURICE</v>
      </c>
      <c r="L1553" s="1">
        <v>43082</v>
      </c>
      <c r="M1553" t="str">
        <f t="shared" si="266"/>
        <v>124</v>
      </c>
      <c r="N1553" t="str">
        <f t="shared" si="267"/>
        <v>Centre de Santé</v>
      </c>
      <c r="O1553" t="str">
        <f t="shared" si="268"/>
        <v>60</v>
      </c>
      <c r="P1553" t="str">
        <f t="shared" si="269"/>
        <v>Association Loi 1901 non Reconnue d'Utilité Publique</v>
      </c>
      <c r="Q1553" t="str">
        <f t="shared" si="264"/>
        <v>36</v>
      </c>
      <c r="R1553" t="str">
        <f t="shared" si="265"/>
        <v>Tarifs conventionnels assurance maladie</v>
      </c>
      <c r="U1553" t="str">
        <f>"940023872"</f>
        <v>940023872</v>
      </c>
    </row>
    <row r="1554" spans="1:21" x14ac:dyDescent="0.3">
      <c r="A1554" t="str">
        <f>"750060923"</f>
        <v>750060923</v>
      </c>
      <c r="D1554" t="str">
        <f>"CDS COLLIARD FSEF PARIS 5"</f>
        <v>CDS COLLIARD FSEF PARIS 5</v>
      </c>
      <c r="F1554" t="str">
        <f>"4 RUE QUATREFAGES"</f>
        <v>4 RUE QUATREFAGES</v>
      </c>
      <c r="H1554" t="str">
        <f>"75005"</f>
        <v>75005</v>
      </c>
      <c r="I1554" t="str">
        <f>"PARIS"</f>
        <v>PARIS</v>
      </c>
      <c r="J1554" t="str">
        <f>"01 85 56 00 02 "</f>
        <v xml:space="preserve">01 85 56 00 02 </v>
      </c>
      <c r="L1554" s="1">
        <v>43075</v>
      </c>
      <c r="M1554" t="str">
        <f t="shared" si="266"/>
        <v>124</v>
      </c>
      <c r="N1554" t="str">
        <f t="shared" si="267"/>
        <v>Centre de Santé</v>
      </c>
      <c r="O1554" t="str">
        <f>"63"</f>
        <v>63</v>
      </c>
      <c r="P1554" t="str">
        <f>"Fondation"</f>
        <v>Fondation</v>
      </c>
      <c r="Q1554" t="str">
        <f t="shared" si="264"/>
        <v>36</v>
      </c>
      <c r="R1554" t="str">
        <f t="shared" si="265"/>
        <v>Tarifs conventionnels assurance maladie</v>
      </c>
      <c r="U1554" t="str">
        <f>"750720575"</f>
        <v>750720575</v>
      </c>
    </row>
    <row r="1555" spans="1:21" x14ac:dyDescent="0.3">
      <c r="A1555" t="str">
        <f>"940023815"</f>
        <v>940023815</v>
      </c>
      <c r="D1555" t="str">
        <f>"CDS LA VACHE NOIRE"</f>
        <v>CDS LA VACHE NOIRE</v>
      </c>
      <c r="E1555" t="str">
        <f>"CENTRE COMMERCIAL LA VACHE NOIRE"</f>
        <v>CENTRE COMMERCIAL LA VACHE NOIRE</v>
      </c>
      <c r="F1555" t="str">
        <f>"PLACE DE LA VACHE NOIRE"</f>
        <v>PLACE DE LA VACHE NOIRE</v>
      </c>
      <c r="H1555" t="str">
        <f>"94110"</f>
        <v>94110</v>
      </c>
      <c r="I1555" t="str">
        <f>"ARCUEIL"</f>
        <v>ARCUEIL</v>
      </c>
      <c r="L1555" s="1">
        <v>43075</v>
      </c>
      <c r="M1555" t="str">
        <f t="shared" si="266"/>
        <v>124</v>
      </c>
      <c r="N1555" t="str">
        <f t="shared" si="267"/>
        <v>Centre de Santé</v>
      </c>
      <c r="O1555" t="str">
        <f>"60"</f>
        <v>60</v>
      </c>
      <c r="P1555" t="str">
        <f>"Association Loi 1901 non Reconnue d'Utilité Publique"</f>
        <v>Association Loi 1901 non Reconnue d'Utilité Publique</v>
      </c>
      <c r="Q1555" t="str">
        <f t="shared" si="264"/>
        <v>36</v>
      </c>
      <c r="R1555" t="str">
        <f t="shared" si="265"/>
        <v>Tarifs conventionnels assurance maladie</v>
      </c>
      <c r="U1555" t="str">
        <f>"940023542"</f>
        <v>940023542</v>
      </c>
    </row>
    <row r="1556" spans="1:21" x14ac:dyDescent="0.3">
      <c r="A1556" t="str">
        <f>"130045685"</f>
        <v>130045685</v>
      </c>
      <c r="B1556" t="str">
        <f>"819 873 365 00012"</f>
        <v>819 873 365 00012</v>
      </c>
      <c r="D1556" t="str">
        <f>"CDS MEDICAL ROTONDE"</f>
        <v>CDS MEDICAL ROTONDE</v>
      </c>
      <c r="F1556" t="str">
        <f>"120 AVENUE NAPOLEON BONAPARTE"</f>
        <v>120 AVENUE NAPOLEON BONAPARTE</v>
      </c>
      <c r="H1556" t="str">
        <f>"13100"</f>
        <v>13100</v>
      </c>
      <c r="I1556" t="str">
        <f>"AIX EN PROVENCE"</f>
        <v>AIX EN PROVENCE</v>
      </c>
      <c r="J1556" t="str">
        <f>"04 42 24 24 20 "</f>
        <v xml:space="preserve">04 42 24 24 20 </v>
      </c>
      <c r="L1556" s="1">
        <v>43070</v>
      </c>
      <c r="M1556" t="str">
        <f t="shared" si="266"/>
        <v>124</v>
      </c>
      <c r="N1556" t="str">
        <f t="shared" si="267"/>
        <v>Centre de Santé</v>
      </c>
      <c r="O1556" t="str">
        <f>"60"</f>
        <v>60</v>
      </c>
      <c r="P1556" t="str">
        <f>"Association Loi 1901 non Reconnue d'Utilité Publique"</f>
        <v>Association Loi 1901 non Reconnue d'Utilité Publique</v>
      </c>
      <c r="Q1556" t="str">
        <f t="shared" si="264"/>
        <v>36</v>
      </c>
      <c r="R1556" t="str">
        <f t="shared" si="265"/>
        <v>Tarifs conventionnels assurance maladie</v>
      </c>
      <c r="U1556" t="str">
        <f>"130045677"</f>
        <v>130045677</v>
      </c>
    </row>
    <row r="1557" spans="1:21" x14ac:dyDescent="0.3">
      <c r="A1557" t="str">
        <f>"430009001"</f>
        <v>430009001</v>
      </c>
      <c r="B1557" t="str">
        <f>"775 602 436 00872"</f>
        <v>775 602 436 00872</v>
      </c>
      <c r="D1557" t="str">
        <f>"CENTRE DE SANTE DENTAIRE MUTUALISTE"</f>
        <v>CENTRE DE SANTE DENTAIRE MUTUALISTE</v>
      </c>
      <c r="F1557" t="str">
        <f>"28 AVENUE DE LA GARE"</f>
        <v>28 AVENUE DE LA GARE</v>
      </c>
      <c r="H1557" t="str">
        <f>"43120"</f>
        <v>43120</v>
      </c>
      <c r="I1557" t="str">
        <f>"MONISTROL SUR LOIRE"</f>
        <v>MONISTROL SUR LOIRE</v>
      </c>
      <c r="J1557" t="str">
        <f>"04 77 47 63 25 "</f>
        <v xml:space="preserve">04 77 47 63 25 </v>
      </c>
      <c r="L1557" s="1">
        <v>43070</v>
      </c>
      <c r="M1557" t="str">
        <f t="shared" si="266"/>
        <v>124</v>
      </c>
      <c r="N1557" t="str">
        <f t="shared" si="267"/>
        <v>Centre de Santé</v>
      </c>
      <c r="O1557" t="str">
        <f>"47"</f>
        <v>47</v>
      </c>
      <c r="P1557" t="str">
        <f>"Société Mutualiste"</f>
        <v>Société Mutualiste</v>
      </c>
      <c r="Q1557" t="str">
        <f t="shared" si="264"/>
        <v>36</v>
      </c>
      <c r="R1557" t="str">
        <f t="shared" si="265"/>
        <v>Tarifs conventionnels assurance maladie</v>
      </c>
      <c r="U1557" t="str">
        <f>"420787061"</f>
        <v>420787061</v>
      </c>
    </row>
    <row r="1558" spans="1:21" x14ac:dyDescent="0.3">
      <c r="A1558" t="str">
        <f>"620113563"</f>
        <v>620113563</v>
      </c>
      <c r="B1558" t="str">
        <f>"775 685 316 02211"</f>
        <v>775 685 316 02211</v>
      </c>
      <c r="D1558" t="str">
        <f>"CSP FILIERIS MONTIGNY EN GOHELLE"</f>
        <v>CSP FILIERIS MONTIGNY EN GOHELLE</v>
      </c>
      <c r="E1558" t="str">
        <f>"RÉSIDENCE ARTOIS"</f>
        <v>RÉSIDENCE ARTOIS</v>
      </c>
      <c r="F1558" t="str">
        <f>"13 BOULEVARD DU GÉNÉRAL DE GAULLE"</f>
        <v>13 BOULEVARD DU GÉNÉRAL DE GAULLE</v>
      </c>
      <c r="H1558" t="str">
        <f>"62640"</f>
        <v>62640</v>
      </c>
      <c r="I1558" t="str">
        <f>"MONTIGNY EN GOHELLE"</f>
        <v>MONTIGNY EN GOHELLE</v>
      </c>
      <c r="J1558" t="str">
        <f>"03 21 20 62 53 "</f>
        <v xml:space="preserve">03 21 20 62 53 </v>
      </c>
      <c r="L1558" s="1">
        <v>43070</v>
      </c>
      <c r="M1558" t="str">
        <f t="shared" si="266"/>
        <v>124</v>
      </c>
      <c r="N1558" t="str">
        <f t="shared" si="267"/>
        <v>Centre de Santé</v>
      </c>
      <c r="O1558" t="str">
        <f>"41"</f>
        <v>41</v>
      </c>
      <c r="P1558" t="str">
        <f>"Régime Spécial de Sécurité Sociale"</f>
        <v>Régime Spécial de Sécurité Sociale</v>
      </c>
      <c r="Q1558" t="str">
        <f t="shared" si="264"/>
        <v>36</v>
      </c>
      <c r="R1558" t="str">
        <f t="shared" si="265"/>
        <v>Tarifs conventionnels assurance maladie</v>
      </c>
      <c r="U1558" t="str">
        <f>"750050759"</f>
        <v>750050759</v>
      </c>
    </row>
    <row r="1559" spans="1:21" x14ac:dyDescent="0.3">
      <c r="A1559" t="str">
        <f>"920032034"</f>
        <v>920032034</v>
      </c>
      <c r="B1559" t="str">
        <f>"832 139 992 00016"</f>
        <v>832 139 992 00016</v>
      </c>
      <c r="D1559" t="str">
        <f>"CDS DENTAIRE CLICHY LA GARENNE"</f>
        <v>CDS DENTAIRE CLICHY LA GARENNE</v>
      </c>
      <c r="F1559" t="str">
        <f>"65 RUE HENRI BARBUSSE"</f>
        <v>65 RUE HENRI BARBUSSE</v>
      </c>
      <c r="H1559" t="str">
        <f>"92110"</f>
        <v>92110</v>
      </c>
      <c r="I1559" t="str">
        <f>"CLICHY"</f>
        <v>CLICHY</v>
      </c>
      <c r="L1559" s="1">
        <v>43069</v>
      </c>
      <c r="M1559" t="str">
        <f t="shared" si="266"/>
        <v>124</v>
      </c>
      <c r="N1559" t="str">
        <f t="shared" si="267"/>
        <v>Centre de Santé</v>
      </c>
      <c r="O1559" t="str">
        <f t="shared" ref="O1559:O1564" si="270">"60"</f>
        <v>60</v>
      </c>
      <c r="P1559" t="str">
        <f t="shared" ref="P1559:P1564" si="271">"Association Loi 1901 non Reconnue d'Utilité Publique"</f>
        <v>Association Loi 1901 non Reconnue d'Utilité Publique</v>
      </c>
      <c r="Q1559" t="str">
        <f t="shared" si="264"/>
        <v>36</v>
      </c>
      <c r="R1559" t="str">
        <f t="shared" si="265"/>
        <v>Tarifs conventionnels assurance maladie</v>
      </c>
      <c r="U1559" t="str">
        <f>"920032026"</f>
        <v>920032026</v>
      </c>
    </row>
    <row r="1560" spans="1:21" x14ac:dyDescent="0.3">
      <c r="A1560" t="str">
        <f>"940023807"</f>
        <v>940023807</v>
      </c>
      <c r="B1560" t="str">
        <f>"831 338 801 00010"</f>
        <v>831 338 801 00010</v>
      </c>
      <c r="D1560" t="str">
        <f>"CDS DENTAIRE MAISONS ALFORT"</f>
        <v>CDS DENTAIRE MAISONS ALFORT</v>
      </c>
      <c r="F1560" t="str">
        <f>"39 AVENUE DU GENERAL DE GAULLE"</f>
        <v>39 AVENUE DU GENERAL DE GAULLE</v>
      </c>
      <c r="H1560" t="str">
        <f>"94700"</f>
        <v>94700</v>
      </c>
      <c r="I1560" t="str">
        <f>"MAISONS ALFORT"</f>
        <v>MAISONS ALFORT</v>
      </c>
      <c r="L1560" s="1">
        <v>43069</v>
      </c>
      <c r="M1560" t="str">
        <f t="shared" si="266"/>
        <v>124</v>
      </c>
      <c r="N1560" t="str">
        <f t="shared" si="267"/>
        <v>Centre de Santé</v>
      </c>
      <c r="O1560" t="str">
        <f t="shared" si="270"/>
        <v>60</v>
      </c>
      <c r="P1560" t="str">
        <f t="shared" si="271"/>
        <v>Association Loi 1901 non Reconnue d'Utilité Publique</v>
      </c>
      <c r="Q1560" t="str">
        <f t="shared" si="264"/>
        <v>36</v>
      </c>
      <c r="R1560" t="str">
        <f t="shared" si="265"/>
        <v>Tarifs conventionnels assurance maladie</v>
      </c>
      <c r="U1560" t="str">
        <f>"940023799"</f>
        <v>940023799</v>
      </c>
    </row>
    <row r="1561" spans="1:21" x14ac:dyDescent="0.3">
      <c r="A1561" t="str">
        <f>"950043653"</f>
        <v>950043653</v>
      </c>
      <c r="B1561" t="str">
        <f>"833 538 341 00011"</f>
        <v>833 538 341 00011</v>
      </c>
      <c r="D1561" t="str">
        <f>"CDS VILLIERS LE BEL"</f>
        <v>CDS VILLIERS LE BEL</v>
      </c>
      <c r="F1561" t="str">
        <f>"10 RUE ARTHUR RIMBAUD"</f>
        <v>10 RUE ARTHUR RIMBAUD</v>
      </c>
      <c r="H1561" t="str">
        <f>"95400"</f>
        <v>95400</v>
      </c>
      <c r="I1561" t="str">
        <f>"VILLIERS LE BEL"</f>
        <v>VILLIERS LE BEL</v>
      </c>
      <c r="J1561" t="str">
        <f>"01 30 11 17 27 "</f>
        <v xml:space="preserve">01 30 11 17 27 </v>
      </c>
      <c r="K1561" t="str">
        <f>"01 85 76 51 58"</f>
        <v>01 85 76 51 58</v>
      </c>
      <c r="L1561" s="1">
        <v>43069</v>
      </c>
      <c r="M1561" t="str">
        <f t="shared" si="266"/>
        <v>124</v>
      </c>
      <c r="N1561" t="str">
        <f t="shared" si="267"/>
        <v>Centre de Santé</v>
      </c>
      <c r="O1561" t="str">
        <f t="shared" si="270"/>
        <v>60</v>
      </c>
      <c r="P1561" t="str">
        <f t="shared" si="271"/>
        <v>Association Loi 1901 non Reconnue d'Utilité Publique</v>
      </c>
      <c r="Q1561" t="str">
        <f t="shared" si="264"/>
        <v>36</v>
      </c>
      <c r="R1561" t="str">
        <f t="shared" si="265"/>
        <v>Tarifs conventionnels assurance maladie</v>
      </c>
      <c r="U1561" t="str">
        <f>"950043646"</f>
        <v>950043646</v>
      </c>
    </row>
    <row r="1562" spans="1:21" x14ac:dyDescent="0.3">
      <c r="A1562" t="str">
        <f>"930027792"</f>
        <v>930027792</v>
      </c>
      <c r="B1562" t="str">
        <f>"805 180 510 00010"</f>
        <v>805 180 510 00010</v>
      </c>
      <c r="D1562" t="str">
        <f>"CDS DENTAIRE DENTAL CLINIC BONDY"</f>
        <v>CDS DENTAIRE DENTAL CLINIC BONDY</v>
      </c>
      <c r="F1562" t="str">
        <f>"5 PLACE ARTHUR RIMBAUD"</f>
        <v>5 PLACE ARTHUR RIMBAUD</v>
      </c>
      <c r="H1562" t="str">
        <f>"93140"</f>
        <v>93140</v>
      </c>
      <c r="I1562" t="str">
        <f>"BONDY"</f>
        <v>BONDY</v>
      </c>
      <c r="J1562" t="str">
        <f>"01 48 47 14 51 "</f>
        <v xml:space="preserve">01 48 47 14 51 </v>
      </c>
      <c r="K1562" t="str">
        <f>"01 48 47 22 45"</f>
        <v>01 48 47 22 45</v>
      </c>
      <c r="L1562" s="1">
        <v>43062</v>
      </c>
      <c r="M1562" t="str">
        <f t="shared" si="266"/>
        <v>124</v>
      </c>
      <c r="N1562" t="str">
        <f t="shared" si="267"/>
        <v>Centre de Santé</v>
      </c>
      <c r="O1562" t="str">
        <f t="shared" si="270"/>
        <v>60</v>
      </c>
      <c r="P1562" t="str">
        <f t="shared" si="271"/>
        <v>Association Loi 1901 non Reconnue d'Utilité Publique</v>
      </c>
      <c r="Q1562" t="str">
        <f t="shared" si="264"/>
        <v>36</v>
      </c>
      <c r="R1562" t="str">
        <f t="shared" si="265"/>
        <v>Tarifs conventionnels assurance maladie</v>
      </c>
      <c r="U1562" t="str">
        <f>"930027669"</f>
        <v>930027669</v>
      </c>
    </row>
    <row r="1563" spans="1:21" x14ac:dyDescent="0.3">
      <c r="A1563" t="str">
        <f>"930027768"</f>
        <v>930027768</v>
      </c>
      <c r="D1563" t="str">
        <f>"CDS DENTAIRE SAINT-DENIS BASILIQUE"</f>
        <v>CDS DENTAIRE SAINT-DENIS BASILIQUE</v>
      </c>
      <c r="E1563" t="str">
        <f>"CENTRE COMMERCIAL BASILIQUE"</f>
        <v>CENTRE COMMERCIAL BASILIQUE</v>
      </c>
      <c r="F1563" t="str">
        <f>"1 PLACE DU CAQUET"</f>
        <v>1 PLACE DU CAQUET</v>
      </c>
      <c r="H1563" t="str">
        <f>"93200"</f>
        <v>93200</v>
      </c>
      <c r="I1563" t="str">
        <f>"ST DENIS"</f>
        <v>ST DENIS</v>
      </c>
      <c r="L1563" s="1">
        <v>43061</v>
      </c>
      <c r="M1563" t="str">
        <f t="shared" si="266"/>
        <v>124</v>
      </c>
      <c r="N1563" t="str">
        <f t="shared" si="267"/>
        <v>Centre de Santé</v>
      </c>
      <c r="O1563" t="str">
        <f t="shared" si="270"/>
        <v>60</v>
      </c>
      <c r="P1563" t="str">
        <f t="shared" si="271"/>
        <v>Association Loi 1901 non Reconnue d'Utilité Publique</v>
      </c>
      <c r="Q1563" t="str">
        <f t="shared" si="264"/>
        <v>36</v>
      </c>
      <c r="R1563" t="str">
        <f t="shared" si="265"/>
        <v>Tarifs conventionnels assurance maladie</v>
      </c>
      <c r="U1563" t="str">
        <f>"930027750"</f>
        <v>930027750</v>
      </c>
    </row>
    <row r="1564" spans="1:21" x14ac:dyDescent="0.3">
      <c r="A1564" t="str">
        <f>"930027743"</f>
        <v>930027743</v>
      </c>
      <c r="D1564" t="str">
        <f>"CDS MEDICO-DENTAIRE SAINT-DENIS"</f>
        <v>CDS MEDICO-DENTAIRE SAINT-DENIS</v>
      </c>
      <c r="F1564" t="str">
        <f>"53 BOULEVARD JULES GUESDE"</f>
        <v>53 BOULEVARD JULES GUESDE</v>
      </c>
      <c r="H1564" t="str">
        <f>"93200"</f>
        <v>93200</v>
      </c>
      <c r="I1564" t="str">
        <f>"ST DENIS"</f>
        <v>ST DENIS</v>
      </c>
      <c r="L1564" s="1">
        <v>43056</v>
      </c>
      <c r="M1564" t="str">
        <f t="shared" si="266"/>
        <v>124</v>
      </c>
      <c r="N1564" t="str">
        <f t="shared" si="267"/>
        <v>Centre de Santé</v>
      </c>
      <c r="O1564" t="str">
        <f t="shared" si="270"/>
        <v>60</v>
      </c>
      <c r="P1564" t="str">
        <f t="shared" si="271"/>
        <v>Association Loi 1901 non Reconnue d'Utilité Publique</v>
      </c>
      <c r="Q1564" t="str">
        <f t="shared" si="264"/>
        <v>36</v>
      </c>
      <c r="R1564" t="str">
        <f t="shared" si="265"/>
        <v>Tarifs conventionnels assurance maladie</v>
      </c>
      <c r="U1564" t="str">
        <f>"930027735"</f>
        <v>930027735</v>
      </c>
    </row>
    <row r="1565" spans="1:21" x14ac:dyDescent="0.3">
      <c r="A1565" t="str">
        <f>"950043612"</f>
        <v>950043612</v>
      </c>
      <c r="D1565" t="str">
        <f>"CDS DE FOSSES - MARLY LA VILLE"</f>
        <v>CDS DE FOSSES - MARLY LA VILLE</v>
      </c>
      <c r="F1565" t="str">
        <f>"15 PLACE DU 19 MARS"</f>
        <v>15 PLACE DU 19 MARS</v>
      </c>
      <c r="H1565" t="str">
        <f>"95470"</f>
        <v>95470</v>
      </c>
      <c r="I1565" t="str">
        <f>"FOSSES"</f>
        <v>FOSSES</v>
      </c>
      <c r="J1565" t="str">
        <f>"01 83 08 00 15 "</f>
        <v xml:space="preserve">01 83 08 00 15 </v>
      </c>
      <c r="L1565" s="1">
        <v>43056</v>
      </c>
      <c r="M1565" t="str">
        <f t="shared" si="266"/>
        <v>124</v>
      </c>
      <c r="N1565" t="str">
        <f t="shared" si="267"/>
        <v>Centre de Santé</v>
      </c>
      <c r="O1565" t="str">
        <f>"06"</f>
        <v>06</v>
      </c>
      <c r="P1565" t="str">
        <f>"Autre Collectivité Territoriale"</f>
        <v>Autre Collectivité Territoriale</v>
      </c>
      <c r="Q1565" t="str">
        <f t="shared" si="264"/>
        <v>36</v>
      </c>
      <c r="R1565" t="str">
        <f t="shared" si="265"/>
        <v>Tarifs conventionnels assurance maladie</v>
      </c>
      <c r="U1565" t="str">
        <f>"950043604"</f>
        <v>950043604</v>
      </c>
    </row>
    <row r="1566" spans="1:21" x14ac:dyDescent="0.3">
      <c r="A1566" t="str">
        <f>"620033258"</f>
        <v>620033258</v>
      </c>
      <c r="B1566" t="str">
        <f>"385 030 994 00029"</f>
        <v>385 030 994 00029</v>
      </c>
      <c r="D1566" t="str">
        <f>"CENTRE DE SANTÉ INFIRMIERS BOULOGNE"</f>
        <v>CENTRE DE SANTÉ INFIRMIERS BOULOGNE</v>
      </c>
      <c r="F1566" t="str">
        <f>"12 RUE JULES VERNE"</f>
        <v>12 RUE JULES VERNE</v>
      </c>
      <c r="G1566" t="str">
        <f>"PARC DE LA LIANE"</f>
        <v>PARC DE LA LIANE</v>
      </c>
      <c r="H1566" t="str">
        <f>"62200"</f>
        <v>62200</v>
      </c>
      <c r="I1566" t="str">
        <f>"BOULOGNE SUR MER"</f>
        <v>BOULOGNE SUR MER</v>
      </c>
      <c r="J1566" t="str">
        <f>"03 21 08 69 70 "</f>
        <v xml:space="preserve">03 21 08 69 70 </v>
      </c>
      <c r="L1566" s="1">
        <v>43054</v>
      </c>
      <c r="M1566" t="str">
        <f t="shared" si="266"/>
        <v>124</v>
      </c>
      <c r="N1566" t="str">
        <f t="shared" si="267"/>
        <v>Centre de Santé</v>
      </c>
      <c r="O1566" t="str">
        <f>"60"</f>
        <v>60</v>
      </c>
      <c r="P1566" t="str">
        <f>"Association Loi 1901 non Reconnue d'Utilité Publique"</f>
        <v>Association Loi 1901 non Reconnue d'Utilité Publique</v>
      </c>
      <c r="Q1566" t="str">
        <f t="shared" si="264"/>
        <v>36</v>
      </c>
      <c r="R1566" t="str">
        <f t="shared" si="265"/>
        <v>Tarifs conventionnels assurance maladie</v>
      </c>
      <c r="U1566" t="str">
        <f>"620002790"</f>
        <v>620002790</v>
      </c>
    </row>
    <row r="1567" spans="1:21" x14ac:dyDescent="0.3">
      <c r="A1567" t="str">
        <f>"130046931"</f>
        <v>130046931</v>
      </c>
      <c r="D1567" t="str">
        <f>"CDS ALLODENT AIX EN PROVENCE"</f>
        <v>CDS ALLODENT AIX EN PROVENCE</v>
      </c>
      <c r="F1567" t="str">
        <f>"645 ROUTE DE BERRE ZAC DES 2 ORMES"</f>
        <v>645 ROUTE DE BERRE ZAC DES 2 ORMES</v>
      </c>
      <c r="H1567" t="str">
        <f>"13090"</f>
        <v>13090</v>
      </c>
      <c r="I1567" t="str">
        <f>"AIX EN PROVENCE"</f>
        <v>AIX EN PROVENCE</v>
      </c>
      <c r="J1567" t="str">
        <f>"06 14 87 21 42 "</f>
        <v xml:space="preserve">06 14 87 21 42 </v>
      </c>
      <c r="L1567" s="1">
        <v>43052</v>
      </c>
      <c r="M1567" t="str">
        <f t="shared" si="266"/>
        <v>124</v>
      </c>
      <c r="N1567" t="str">
        <f t="shared" si="267"/>
        <v>Centre de Santé</v>
      </c>
      <c r="O1567" t="str">
        <f>"61"</f>
        <v>61</v>
      </c>
      <c r="P1567" t="str">
        <f>"Association Loi 1901 Reconnue d'Utilité Publique"</f>
        <v>Association Loi 1901 Reconnue d'Utilité Publique</v>
      </c>
      <c r="Q1567" t="str">
        <f>"99"</f>
        <v>99</v>
      </c>
      <c r="R1567" t="str">
        <f>"Indéterminé"</f>
        <v>Indéterminé</v>
      </c>
      <c r="U1567" t="str">
        <f>"130047087"</f>
        <v>130047087</v>
      </c>
    </row>
    <row r="1568" spans="1:21" x14ac:dyDescent="0.3">
      <c r="A1568" t="str">
        <f>"490020492"</f>
        <v>490020492</v>
      </c>
      <c r="B1568" t="str">
        <f>"499 586 394 00052"</f>
        <v>499 586 394 00052</v>
      </c>
      <c r="D1568" t="str">
        <f>"CSP DE LA ROSERAIE"</f>
        <v>CSP DE LA ROSERAIE</v>
      </c>
      <c r="F1568" t="str">
        <f>"25 AVENUE JEAN XXIII"</f>
        <v>25 AVENUE JEAN XXIII</v>
      </c>
      <c r="H1568" t="str">
        <f>"49010"</f>
        <v>49010</v>
      </c>
      <c r="I1568" t="str">
        <f>"ANGERS CEDEX 01"</f>
        <v>ANGERS CEDEX 01</v>
      </c>
      <c r="J1568" t="str">
        <f>"02 30 06 09 00 "</f>
        <v xml:space="preserve">02 30 06 09 00 </v>
      </c>
      <c r="L1568" s="1">
        <v>43041</v>
      </c>
      <c r="M1568" t="str">
        <f t="shared" si="266"/>
        <v>124</v>
      </c>
      <c r="N1568" t="str">
        <f t="shared" si="267"/>
        <v>Centre de Santé</v>
      </c>
      <c r="O1568" t="str">
        <f>"60"</f>
        <v>60</v>
      </c>
      <c r="P1568" t="str">
        <f>"Association Loi 1901 non Reconnue d'Utilité Publique"</f>
        <v>Association Loi 1901 non Reconnue d'Utilité Publique</v>
      </c>
      <c r="Q1568" t="str">
        <f>"36"</f>
        <v>36</v>
      </c>
      <c r="R1568" t="str">
        <f>"Tarifs conventionnels assurance maladie"</f>
        <v>Tarifs conventionnels assurance maladie</v>
      </c>
      <c r="U1568" t="str">
        <f>"490535218"</f>
        <v>490535218</v>
      </c>
    </row>
    <row r="1569" spans="1:21" x14ac:dyDescent="0.3">
      <c r="A1569" t="str">
        <f>"770022036"</f>
        <v>770022036</v>
      </c>
      <c r="D1569" t="str">
        <f>"CDS MUNICIPAL CHAMPAGNE SUR SEINE"</f>
        <v>CDS MUNICIPAL CHAMPAGNE SUR SEINE</v>
      </c>
      <c r="F1569" t="str">
        <f>"126 RUE DU GENERAL DE GAULLE"</f>
        <v>126 RUE DU GENERAL DE GAULLE</v>
      </c>
      <c r="H1569" t="str">
        <f>"77430"</f>
        <v>77430</v>
      </c>
      <c r="I1569" t="str">
        <f>"CHAMPAGNE SUR SEINE"</f>
        <v>CHAMPAGNE SUR SEINE</v>
      </c>
      <c r="L1569" s="1">
        <v>43035</v>
      </c>
      <c r="M1569" t="str">
        <f t="shared" si="266"/>
        <v>124</v>
      </c>
      <c r="N1569" t="str">
        <f t="shared" si="267"/>
        <v>Centre de Santé</v>
      </c>
      <c r="O1569" t="str">
        <f>"03"</f>
        <v>03</v>
      </c>
      <c r="P1569" t="str">
        <f>"Commune"</f>
        <v>Commune</v>
      </c>
      <c r="Q1569" t="str">
        <f>"36"</f>
        <v>36</v>
      </c>
      <c r="R1569" t="str">
        <f>"Tarifs conventionnels assurance maladie"</f>
        <v>Tarifs conventionnels assurance maladie</v>
      </c>
      <c r="U1569" t="str">
        <f>"770804623"</f>
        <v>770804623</v>
      </c>
    </row>
    <row r="1570" spans="1:21" x14ac:dyDescent="0.3">
      <c r="A1570" t="str">
        <f>"620033225"</f>
        <v>620033225</v>
      </c>
      <c r="B1570" t="str">
        <f>"216 200 345 00017"</f>
        <v>216 200 345 00017</v>
      </c>
      <c r="D1570" t="str">
        <f>"CTR DE SANTÉ MUNICIPAL ANNEQUINOIS"</f>
        <v>CTR DE SANTÉ MUNICIPAL ANNEQUINOIS</v>
      </c>
      <c r="F1570" t="str">
        <f>"15 BOULEVARD DE LA VICTOIRE"</f>
        <v>15 BOULEVARD DE LA VICTOIRE</v>
      </c>
      <c r="H1570" t="str">
        <f>"62149"</f>
        <v>62149</v>
      </c>
      <c r="I1570" t="str">
        <f>"ANNEQUIN"</f>
        <v>ANNEQUIN</v>
      </c>
      <c r="J1570" t="str">
        <f>"03 21 02 69 30 "</f>
        <v xml:space="preserve">03 21 02 69 30 </v>
      </c>
      <c r="L1570" s="1">
        <v>43034</v>
      </c>
      <c r="M1570" t="str">
        <f t="shared" si="266"/>
        <v>124</v>
      </c>
      <c r="N1570" t="str">
        <f t="shared" si="267"/>
        <v>Centre de Santé</v>
      </c>
      <c r="O1570" t="str">
        <f>"03"</f>
        <v>03</v>
      </c>
      <c r="P1570" t="str">
        <f>"Commune"</f>
        <v>Commune</v>
      </c>
      <c r="Q1570" t="str">
        <f>"36"</f>
        <v>36</v>
      </c>
      <c r="R1570" t="str">
        <f>"Tarifs conventionnels assurance maladie"</f>
        <v>Tarifs conventionnels assurance maladie</v>
      </c>
      <c r="U1570" t="str">
        <f>"620033217"</f>
        <v>620033217</v>
      </c>
    </row>
    <row r="1571" spans="1:21" x14ac:dyDescent="0.3">
      <c r="A1571" t="str">
        <f>"750060816"</f>
        <v>750060816</v>
      </c>
      <c r="D1571" t="str">
        <f>"CDS PARIS 20"</f>
        <v>CDS PARIS 20</v>
      </c>
      <c r="F1571" t="str">
        <f>"77 RUE DES PYRENEES"</f>
        <v>77 RUE DES PYRENEES</v>
      </c>
      <c r="H1571" t="str">
        <f>"75020"</f>
        <v>75020</v>
      </c>
      <c r="I1571" t="str">
        <f>"PARIS"</f>
        <v>PARIS</v>
      </c>
      <c r="L1571" s="1">
        <v>43033</v>
      </c>
      <c r="M1571" t="str">
        <f t="shared" si="266"/>
        <v>124</v>
      </c>
      <c r="N1571" t="str">
        <f t="shared" si="267"/>
        <v>Centre de Santé</v>
      </c>
      <c r="O1571" t="str">
        <f>"61"</f>
        <v>61</v>
      </c>
      <c r="P1571" t="str">
        <f>"Association Loi 1901 Reconnue d'Utilité Publique"</f>
        <v>Association Loi 1901 Reconnue d'Utilité Publique</v>
      </c>
      <c r="Q1571" t="str">
        <f>"36"</f>
        <v>36</v>
      </c>
      <c r="R1571" t="str">
        <f>"Tarifs conventionnels assurance maladie"</f>
        <v>Tarifs conventionnels assurance maladie</v>
      </c>
      <c r="U1571" t="str">
        <f>"750060808"</f>
        <v>750060808</v>
      </c>
    </row>
    <row r="1572" spans="1:21" x14ac:dyDescent="0.3">
      <c r="A1572" t="str">
        <f>"750060832"</f>
        <v>750060832</v>
      </c>
      <c r="B1572" t="str">
        <f>"909 835 597 00024"</f>
        <v>909 835 597 00024</v>
      </c>
      <c r="D1572" t="str">
        <f>"CDS SANTEA IDF"</f>
        <v>CDS SANTEA IDF</v>
      </c>
      <c r="F1572" t="str">
        <f>"145 AVENUE DE FLANDRE"</f>
        <v>145 AVENUE DE FLANDRE</v>
      </c>
      <c r="H1572" t="str">
        <f>"75019"</f>
        <v>75019</v>
      </c>
      <c r="I1572" t="str">
        <f>"PARIS"</f>
        <v>PARIS</v>
      </c>
      <c r="J1572" t="str">
        <f>"01 40 35 35 83 "</f>
        <v xml:space="preserve">01 40 35 35 83 </v>
      </c>
      <c r="L1572" s="1">
        <v>43033</v>
      </c>
      <c r="M1572" t="str">
        <f t="shared" si="266"/>
        <v>124</v>
      </c>
      <c r="N1572" t="str">
        <f t="shared" si="267"/>
        <v>Centre de Santé</v>
      </c>
      <c r="O1572" t="str">
        <f>"60"</f>
        <v>60</v>
      </c>
      <c r="P1572" t="str">
        <f>"Association Loi 1901 non Reconnue d'Utilité Publique"</f>
        <v>Association Loi 1901 non Reconnue d'Utilité Publique</v>
      </c>
      <c r="Q1572" t="str">
        <f>"36"</f>
        <v>36</v>
      </c>
      <c r="R1572" t="str">
        <f>"Tarifs conventionnels assurance maladie"</f>
        <v>Tarifs conventionnels assurance maladie</v>
      </c>
      <c r="U1572" t="str">
        <f>"940030281"</f>
        <v>940030281</v>
      </c>
    </row>
    <row r="1573" spans="1:21" x14ac:dyDescent="0.3">
      <c r="A1573" t="str">
        <f>"360008288"</f>
        <v>360008288</v>
      </c>
      <c r="B1573" t="str">
        <f>"200 007 052 00059"</f>
        <v>200 007 052 00059</v>
      </c>
      <c r="D1573" t="str">
        <f>"CENTREDE SANTE DE LA MARCHE BERRICHONE"</f>
        <v>CENTREDE SANTE DE LA MARCHE BERRICHONE</v>
      </c>
      <c r="F1573" t="str">
        <f>"6 RUE JEAN MARIEN MESSANT"</f>
        <v>6 RUE JEAN MARIEN MESSANT</v>
      </c>
      <c r="H1573" t="str">
        <f>"36140"</f>
        <v>36140</v>
      </c>
      <c r="I1573" t="str">
        <f>"AIGURANDE"</f>
        <v>AIGURANDE</v>
      </c>
      <c r="J1573" t="str">
        <f>"02 54 06 31 56 "</f>
        <v xml:space="preserve">02 54 06 31 56 </v>
      </c>
      <c r="L1573" s="1">
        <v>43032</v>
      </c>
      <c r="M1573" t="str">
        <f t="shared" si="266"/>
        <v>124</v>
      </c>
      <c r="N1573" t="str">
        <f t="shared" si="267"/>
        <v>Centre de Santé</v>
      </c>
      <c r="O1573" t="str">
        <f>"03"</f>
        <v>03</v>
      </c>
      <c r="P1573" t="str">
        <f>"Commune"</f>
        <v>Commune</v>
      </c>
      <c r="Q1573" t="str">
        <f>"99"</f>
        <v>99</v>
      </c>
      <c r="R1573" t="str">
        <f>"Indéterminé"</f>
        <v>Indéterminé</v>
      </c>
      <c r="U1573" t="str">
        <f>"360008270"</f>
        <v>360008270</v>
      </c>
    </row>
    <row r="1574" spans="1:21" x14ac:dyDescent="0.3">
      <c r="A1574" t="str">
        <f>"930027727"</f>
        <v>930027727</v>
      </c>
      <c r="D1574" t="str">
        <f>"CDS MEDICAL ET DENTAIRE AVENIR"</f>
        <v>CDS MEDICAL ET DENTAIRE AVENIR</v>
      </c>
      <c r="E1574" t="str">
        <f>"CENTRE COMMERCIAL AVENIR"</f>
        <v>CENTRE COMMERCIAL AVENIR</v>
      </c>
      <c r="F1574" t="str">
        <f>"60 RUE SAINT STENAY"</f>
        <v>60 RUE SAINT STENAY</v>
      </c>
      <c r="H1574" t="str">
        <f>"93700"</f>
        <v>93700</v>
      </c>
      <c r="I1574" t="str">
        <f>"DRANCY"</f>
        <v>DRANCY</v>
      </c>
      <c r="L1574" s="1">
        <v>43031</v>
      </c>
      <c r="M1574" t="str">
        <f t="shared" si="266"/>
        <v>124</v>
      </c>
      <c r="N1574" t="str">
        <f t="shared" si="267"/>
        <v>Centre de Santé</v>
      </c>
      <c r="O1574" t="str">
        <f>"60"</f>
        <v>60</v>
      </c>
      <c r="P1574" t="str">
        <f>"Association Loi 1901 non Reconnue d'Utilité Publique"</f>
        <v>Association Loi 1901 non Reconnue d'Utilité Publique</v>
      </c>
      <c r="Q1574" t="str">
        <f t="shared" ref="Q1574:Q1580" si="272">"36"</f>
        <v>36</v>
      </c>
      <c r="R1574" t="str">
        <f t="shared" ref="R1574:R1580" si="273">"Tarifs conventionnels assurance maladie"</f>
        <v>Tarifs conventionnels assurance maladie</v>
      </c>
      <c r="U1574" t="str">
        <f>"930027719"</f>
        <v>930027719</v>
      </c>
    </row>
    <row r="1575" spans="1:21" x14ac:dyDescent="0.3">
      <c r="A1575" t="str">
        <f>"870017902"</f>
        <v>870017902</v>
      </c>
      <c r="B1575" t="str">
        <f>"828 739 508 00012"</f>
        <v>828 739 508 00012</v>
      </c>
      <c r="D1575" t="str">
        <f>"CENTRE DENTAIRE DU LIMOUSIN"</f>
        <v>CENTRE DENTAIRE DU LIMOUSIN</v>
      </c>
      <c r="F1575" t="str">
        <f>"3 RUE ANC. ECOLE NORMALE INSTITUT"</f>
        <v>3 RUE ANC. ECOLE NORMALE INSTITUT</v>
      </c>
      <c r="H1575" t="str">
        <f>"87000"</f>
        <v>87000</v>
      </c>
      <c r="I1575" t="str">
        <f>"LIMOGES"</f>
        <v>LIMOGES</v>
      </c>
      <c r="J1575" t="str">
        <f>"05 55 75 31 53 "</f>
        <v xml:space="preserve">05 55 75 31 53 </v>
      </c>
      <c r="L1575" s="1">
        <v>43028</v>
      </c>
      <c r="M1575" t="str">
        <f t="shared" si="266"/>
        <v>124</v>
      </c>
      <c r="N1575" t="str">
        <f t="shared" si="267"/>
        <v>Centre de Santé</v>
      </c>
      <c r="O1575" t="str">
        <f>"60"</f>
        <v>60</v>
      </c>
      <c r="P1575" t="str">
        <f>"Association Loi 1901 non Reconnue d'Utilité Publique"</f>
        <v>Association Loi 1901 non Reconnue d'Utilité Publique</v>
      </c>
      <c r="Q1575" t="str">
        <f t="shared" si="272"/>
        <v>36</v>
      </c>
      <c r="R1575" t="str">
        <f t="shared" si="273"/>
        <v>Tarifs conventionnels assurance maladie</v>
      </c>
      <c r="U1575" t="str">
        <f>"870017894"</f>
        <v>870017894</v>
      </c>
    </row>
    <row r="1576" spans="1:21" x14ac:dyDescent="0.3">
      <c r="A1576" t="str">
        <f>"630013092"</f>
        <v>630013092</v>
      </c>
      <c r="B1576" t="str">
        <f>"775 602 436 01250"</f>
        <v>775 602 436 01250</v>
      </c>
      <c r="D1576" t="str">
        <f>"CENTRE DE SANTE DENTAIRE LA GAUTHIERE"</f>
        <v>CENTRE DE SANTE DENTAIRE LA GAUTHIERE</v>
      </c>
      <c r="F1576" t="str">
        <f>"1 RUE PORTEFORT"</f>
        <v>1 RUE PORTEFORT</v>
      </c>
      <c r="H1576" t="str">
        <f>"63100"</f>
        <v>63100</v>
      </c>
      <c r="I1576" t="str">
        <f>"CLERMONT FERRAND"</f>
        <v>CLERMONT FERRAND</v>
      </c>
      <c r="J1576" t="str">
        <f>"04 73 40 30 33 "</f>
        <v xml:space="preserve">04 73 40 30 33 </v>
      </c>
      <c r="L1576" s="1">
        <v>43026</v>
      </c>
      <c r="M1576" t="str">
        <f t="shared" si="266"/>
        <v>124</v>
      </c>
      <c r="N1576" t="str">
        <f t="shared" si="267"/>
        <v>Centre de Santé</v>
      </c>
      <c r="O1576" t="str">
        <f>"47"</f>
        <v>47</v>
      </c>
      <c r="P1576" t="str">
        <f>"Société Mutualiste"</f>
        <v>Société Mutualiste</v>
      </c>
      <c r="Q1576" t="str">
        <f t="shared" si="272"/>
        <v>36</v>
      </c>
      <c r="R1576" t="str">
        <f t="shared" si="273"/>
        <v>Tarifs conventionnels assurance maladie</v>
      </c>
      <c r="U1576" t="str">
        <f>"420787061"</f>
        <v>420787061</v>
      </c>
    </row>
    <row r="1577" spans="1:21" x14ac:dyDescent="0.3">
      <c r="A1577" t="str">
        <f>"750060774"</f>
        <v>750060774</v>
      </c>
      <c r="B1577" t="str">
        <f>"831 001 920 00014"</f>
        <v>831 001 920 00014</v>
      </c>
      <c r="D1577" t="str">
        <f>"CDS DENTAIRE DE PARIS REUILLY"</f>
        <v>CDS DENTAIRE DE PARIS REUILLY</v>
      </c>
      <c r="F1577" t="str">
        <f>"18 BOULEVARD DE REUILLY"</f>
        <v>18 BOULEVARD DE REUILLY</v>
      </c>
      <c r="H1577" t="str">
        <f>"75012"</f>
        <v>75012</v>
      </c>
      <c r="I1577" t="str">
        <f>"PARIS"</f>
        <v>PARIS</v>
      </c>
      <c r="L1577" s="1">
        <v>43026</v>
      </c>
      <c r="M1577" t="str">
        <f t="shared" si="266"/>
        <v>124</v>
      </c>
      <c r="N1577" t="str">
        <f t="shared" si="267"/>
        <v>Centre de Santé</v>
      </c>
      <c r="O1577" t="str">
        <f>"60"</f>
        <v>60</v>
      </c>
      <c r="P1577" t="str">
        <f>"Association Loi 1901 non Reconnue d'Utilité Publique"</f>
        <v>Association Loi 1901 non Reconnue d'Utilité Publique</v>
      </c>
      <c r="Q1577" t="str">
        <f t="shared" si="272"/>
        <v>36</v>
      </c>
      <c r="R1577" t="str">
        <f t="shared" si="273"/>
        <v>Tarifs conventionnels assurance maladie</v>
      </c>
      <c r="U1577" t="str">
        <f>"750060766"</f>
        <v>750060766</v>
      </c>
    </row>
    <row r="1578" spans="1:21" x14ac:dyDescent="0.3">
      <c r="A1578" t="str">
        <f>"340024033"</f>
        <v>340024033</v>
      </c>
      <c r="B1578" t="str">
        <f>"813 179 793 00878"</f>
        <v>813 179 793 00878</v>
      </c>
      <c r="D1578" t="str">
        <f>"CDS DENTAIRE MFGS FRONTIGNAN"</f>
        <v>CDS DENTAIRE MFGS FRONTIGNAN</v>
      </c>
      <c r="F1578" t="str">
        <f>"39 AVENUE MARECHAL JUIN"</f>
        <v>39 AVENUE MARECHAL JUIN</v>
      </c>
      <c r="H1578" t="str">
        <f>"34110"</f>
        <v>34110</v>
      </c>
      <c r="I1578" t="str">
        <f>"FRONTIGNAN"</f>
        <v>FRONTIGNAN</v>
      </c>
      <c r="J1578" t="str">
        <f>"04 99 02 07 08 "</f>
        <v xml:space="preserve">04 99 02 07 08 </v>
      </c>
      <c r="L1578" s="1">
        <v>43025</v>
      </c>
      <c r="M1578" t="str">
        <f t="shared" si="266"/>
        <v>124</v>
      </c>
      <c r="N1578" t="str">
        <f t="shared" si="267"/>
        <v>Centre de Santé</v>
      </c>
      <c r="O1578" t="str">
        <f>"47"</f>
        <v>47</v>
      </c>
      <c r="P1578" t="str">
        <f>"Société Mutualiste"</f>
        <v>Société Mutualiste</v>
      </c>
      <c r="Q1578" t="str">
        <f t="shared" si="272"/>
        <v>36</v>
      </c>
      <c r="R1578" t="str">
        <f t="shared" si="273"/>
        <v>Tarifs conventionnels assurance maladie</v>
      </c>
      <c r="U1578" t="str">
        <f>"340023209"</f>
        <v>340023209</v>
      </c>
    </row>
    <row r="1579" spans="1:21" x14ac:dyDescent="0.3">
      <c r="A1579" t="str">
        <f>"840019848"</f>
        <v>840019848</v>
      </c>
      <c r="D1579" t="str">
        <f>"CDS DENTAIRE DE BOLLENE"</f>
        <v>CDS DENTAIRE DE BOLLENE</v>
      </c>
      <c r="F1579" t="str">
        <f>""</f>
        <v/>
      </c>
      <c r="H1579" t="str">
        <f>"84500"</f>
        <v>84500</v>
      </c>
      <c r="I1579" t="str">
        <f>"BOLLENE"</f>
        <v>BOLLENE</v>
      </c>
      <c r="J1579" t="str">
        <f>"04 90 61 56 81 "</f>
        <v xml:space="preserve">04 90 61 56 81 </v>
      </c>
      <c r="L1579" s="1">
        <v>43020</v>
      </c>
      <c r="M1579" t="str">
        <f t="shared" si="266"/>
        <v>124</v>
      </c>
      <c r="N1579" t="str">
        <f t="shared" si="267"/>
        <v>Centre de Santé</v>
      </c>
      <c r="O1579" t="str">
        <f>"61"</f>
        <v>61</v>
      </c>
      <c r="P1579" t="str">
        <f>"Association Loi 1901 Reconnue d'Utilité Publique"</f>
        <v>Association Loi 1901 Reconnue d'Utilité Publique</v>
      </c>
      <c r="Q1579" t="str">
        <f t="shared" si="272"/>
        <v>36</v>
      </c>
      <c r="R1579" t="str">
        <f t="shared" si="273"/>
        <v>Tarifs conventionnels assurance maladie</v>
      </c>
      <c r="U1579" t="str">
        <f>"840019830"</f>
        <v>840019830</v>
      </c>
    </row>
    <row r="1580" spans="1:21" x14ac:dyDescent="0.3">
      <c r="A1580" t="str">
        <f>"920031713"</f>
        <v>920031713</v>
      </c>
      <c r="D1580" t="str">
        <f>"CDS MEDICO-DENTAIRE DENTAL SANTE"</f>
        <v>CDS MEDICO-DENTAIRE DENTAL SANTE</v>
      </c>
      <c r="F1580" t="str">
        <f>"52 AVENUE DE LA MARNE"</f>
        <v>52 AVENUE DE LA MARNE</v>
      </c>
      <c r="H1580" t="str">
        <f>"92600"</f>
        <v>92600</v>
      </c>
      <c r="I1580" t="str">
        <f>"ASNIERES SUR SEINE"</f>
        <v>ASNIERES SUR SEINE</v>
      </c>
      <c r="J1580" t="str">
        <f>"01 84 23 04 23 "</f>
        <v xml:space="preserve">01 84 23 04 23 </v>
      </c>
      <c r="L1580" s="1">
        <v>43019</v>
      </c>
      <c r="M1580" t="str">
        <f t="shared" si="266"/>
        <v>124</v>
      </c>
      <c r="N1580" t="str">
        <f t="shared" si="267"/>
        <v>Centre de Santé</v>
      </c>
      <c r="O1580" t="str">
        <f>"60"</f>
        <v>60</v>
      </c>
      <c r="P1580" t="str">
        <f>"Association Loi 1901 non Reconnue d'Utilité Publique"</f>
        <v>Association Loi 1901 non Reconnue d'Utilité Publique</v>
      </c>
      <c r="Q1580" t="str">
        <f t="shared" si="272"/>
        <v>36</v>
      </c>
      <c r="R1580" t="str">
        <f t="shared" si="273"/>
        <v>Tarifs conventionnels assurance maladie</v>
      </c>
      <c r="U1580" t="str">
        <f>"920032372"</f>
        <v>920032372</v>
      </c>
    </row>
    <row r="1581" spans="1:21" x14ac:dyDescent="0.3">
      <c r="A1581" t="str">
        <f>"460006869"</f>
        <v>460006869</v>
      </c>
      <c r="B1581" t="str">
        <f>"200 067 361 00283"</f>
        <v>200 067 361 00283</v>
      </c>
      <c r="D1581" t="str">
        <f>"CDS MEDICAL GRAND-FIGEAC"</f>
        <v>CDS MEDICAL GRAND-FIGEAC</v>
      </c>
      <c r="F1581" t="str">
        <f>"GRAND RUE"</f>
        <v>GRAND RUE</v>
      </c>
      <c r="H1581" t="str">
        <f>"46120"</f>
        <v>46120</v>
      </c>
      <c r="I1581" t="str">
        <f>"LACAPELLE MARIVAL"</f>
        <v>LACAPELLE MARIVAL</v>
      </c>
      <c r="J1581" t="str">
        <f>"05 65 50 22 77 "</f>
        <v xml:space="preserve">05 65 50 22 77 </v>
      </c>
      <c r="L1581" s="1">
        <v>43017</v>
      </c>
      <c r="M1581" t="str">
        <f t="shared" si="266"/>
        <v>124</v>
      </c>
      <c r="N1581" t="str">
        <f t="shared" si="267"/>
        <v>Centre de Santé</v>
      </c>
      <c r="O1581" t="str">
        <f>"22"</f>
        <v>22</v>
      </c>
      <c r="P1581" t="str">
        <f>"Etablissement Social et Médico-Social Intercommunal"</f>
        <v>Etablissement Social et Médico-Social Intercommunal</v>
      </c>
      <c r="Q1581" t="str">
        <f>"99"</f>
        <v>99</v>
      </c>
      <c r="R1581" t="str">
        <f>"Indéterminé"</f>
        <v>Indéterminé</v>
      </c>
      <c r="U1581" t="str">
        <f>"460006240"</f>
        <v>460006240</v>
      </c>
    </row>
    <row r="1582" spans="1:21" x14ac:dyDescent="0.3">
      <c r="A1582" t="str">
        <f>"750060741"</f>
        <v>750060741</v>
      </c>
      <c r="D1582" t="str">
        <f>"CDS DENTAIRE GRANDS BOULEVARDS"</f>
        <v>CDS DENTAIRE GRANDS BOULEVARDS</v>
      </c>
      <c r="F1582" t="str">
        <f>"13 BOULEVARD MONTMARTRE"</f>
        <v>13 BOULEVARD MONTMARTRE</v>
      </c>
      <c r="H1582" t="str">
        <f>"75002"</f>
        <v>75002</v>
      </c>
      <c r="I1582" t="str">
        <f>"PARIS"</f>
        <v>PARIS</v>
      </c>
      <c r="L1582" s="1">
        <v>43017</v>
      </c>
      <c r="M1582" t="str">
        <f t="shared" si="266"/>
        <v>124</v>
      </c>
      <c r="N1582" t="str">
        <f t="shared" si="267"/>
        <v>Centre de Santé</v>
      </c>
      <c r="O1582" t="str">
        <f>"60"</f>
        <v>60</v>
      </c>
      <c r="P1582" t="str">
        <f>"Association Loi 1901 non Reconnue d'Utilité Publique"</f>
        <v>Association Loi 1901 non Reconnue d'Utilité Publique</v>
      </c>
      <c r="Q1582" t="str">
        <f t="shared" ref="Q1582:Q1619" si="274">"36"</f>
        <v>36</v>
      </c>
      <c r="R1582" t="str">
        <f t="shared" ref="R1582:R1619" si="275">"Tarifs conventionnels assurance maladie"</f>
        <v>Tarifs conventionnels assurance maladie</v>
      </c>
      <c r="U1582" t="str">
        <f>"750060733"</f>
        <v>750060733</v>
      </c>
    </row>
    <row r="1583" spans="1:21" x14ac:dyDescent="0.3">
      <c r="A1583" t="str">
        <f>"440054369"</f>
        <v>440054369</v>
      </c>
      <c r="B1583" t="str">
        <f>"316 225 051 00093"</f>
        <v>316 225 051 00093</v>
      </c>
      <c r="D1583" t="str">
        <f>"CENTRE DE SANTE POLYVALENT"</f>
        <v>CENTRE DE SANTE POLYVALENT</v>
      </c>
      <c r="F1583" t="str">
        <f>"8 ROUTE DE NANTES"</f>
        <v>8 ROUTE DE NANTES</v>
      </c>
      <c r="H1583" t="str">
        <f>"44640"</f>
        <v>44640</v>
      </c>
      <c r="I1583" t="str">
        <f>"VUE"</f>
        <v>VUE</v>
      </c>
      <c r="J1583" t="str">
        <f>"02 40 64 24 93 "</f>
        <v xml:space="preserve">02 40 64 24 93 </v>
      </c>
      <c r="L1583" s="1">
        <v>43010</v>
      </c>
      <c r="M1583" t="str">
        <f t="shared" si="266"/>
        <v>124</v>
      </c>
      <c r="N1583" t="str">
        <f t="shared" si="267"/>
        <v>Centre de Santé</v>
      </c>
      <c r="O1583" t="str">
        <f>"60"</f>
        <v>60</v>
      </c>
      <c r="P1583" t="str">
        <f>"Association Loi 1901 non Reconnue d'Utilité Publique"</f>
        <v>Association Loi 1901 non Reconnue d'Utilité Publique</v>
      </c>
      <c r="Q1583" t="str">
        <f t="shared" si="274"/>
        <v>36</v>
      </c>
      <c r="R1583" t="str">
        <f t="shared" si="275"/>
        <v>Tarifs conventionnels assurance maladie</v>
      </c>
      <c r="U1583" t="str">
        <f>"440011716"</f>
        <v>440011716</v>
      </c>
    </row>
    <row r="1584" spans="1:21" x14ac:dyDescent="0.3">
      <c r="A1584" t="str">
        <f>"940023633"</f>
        <v>940023633</v>
      </c>
      <c r="D1584" t="str">
        <f>"CDS DENTAIRE SAINT-MANDE"</f>
        <v>CDS DENTAIRE SAINT-MANDE</v>
      </c>
      <c r="F1584" t="str">
        <f>"65 RUE JEANNE D'ARC"</f>
        <v>65 RUE JEANNE D'ARC</v>
      </c>
      <c r="H1584" t="str">
        <f>"94160"</f>
        <v>94160</v>
      </c>
      <c r="I1584" t="str">
        <f>"ST MANDE"</f>
        <v>ST MANDE</v>
      </c>
      <c r="L1584" s="1">
        <v>42997</v>
      </c>
      <c r="M1584" t="str">
        <f t="shared" si="266"/>
        <v>124</v>
      </c>
      <c r="N1584" t="str">
        <f t="shared" si="267"/>
        <v>Centre de Santé</v>
      </c>
      <c r="O1584" t="str">
        <f>"60"</f>
        <v>60</v>
      </c>
      <c r="P1584" t="str">
        <f>"Association Loi 1901 non Reconnue d'Utilité Publique"</f>
        <v>Association Loi 1901 non Reconnue d'Utilité Publique</v>
      </c>
      <c r="Q1584" t="str">
        <f t="shared" si="274"/>
        <v>36</v>
      </c>
      <c r="R1584" t="str">
        <f t="shared" si="275"/>
        <v>Tarifs conventionnels assurance maladie</v>
      </c>
      <c r="U1584" t="str">
        <f>"940023625"</f>
        <v>940023625</v>
      </c>
    </row>
    <row r="1585" spans="1:21" x14ac:dyDescent="0.3">
      <c r="A1585" t="str">
        <f>"950043505"</f>
        <v>950043505</v>
      </c>
      <c r="D1585" t="str">
        <f>"CDS D'ORTHODONTIE ET SOINS DENTAIRES"</f>
        <v>CDS D'ORTHODONTIE ET SOINS DENTAIRES</v>
      </c>
      <c r="F1585" t="str">
        <f>"17 RUE DEFRESNE BAST"</f>
        <v>17 RUE DEFRESNE BAST</v>
      </c>
      <c r="H1585" t="str">
        <f>"95100"</f>
        <v>95100</v>
      </c>
      <c r="I1585" t="str">
        <f>"ARGENTEUIL"</f>
        <v>ARGENTEUIL</v>
      </c>
      <c r="L1585" s="1">
        <v>42991</v>
      </c>
      <c r="M1585" t="str">
        <f t="shared" si="266"/>
        <v>124</v>
      </c>
      <c r="N1585" t="str">
        <f t="shared" si="267"/>
        <v>Centre de Santé</v>
      </c>
      <c r="O1585" t="str">
        <f>"60"</f>
        <v>60</v>
      </c>
      <c r="P1585" t="str">
        <f>"Association Loi 1901 non Reconnue d'Utilité Publique"</f>
        <v>Association Loi 1901 non Reconnue d'Utilité Publique</v>
      </c>
      <c r="Q1585" t="str">
        <f t="shared" si="274"/>
        <v>36</v>
      </c>
      <c r="R1585" t="str">
        <f t="shared" si="275"/>
        <v>Tarifs conventionnels assurance maladie</v>
      </c>
      <c r="U1585" t="str">
        <f>"950043497"</f>
        <v>950043497</v>
      </c>
    </row>
    <row r="1586" spans="1:21" x14ac:dyDescent="0.3">
      <c r="A1586" t="str">
        <f>"810011346"</f>
        <v>810011346</v>
      </c>
      <c r="B1586" t="str">
        <f>"775 711 674 00967"</f>
        <v>775 711 674 00967</v>
      </c>
      <c r="D1586" t="str">
        <f>"CTRE DENT MUT CASTRES PL LAMEILHE"</f>
        <v>CTRE DENT MUT CASTRES PL LAMEILHE</v>
      </c>
      <c r="F1586" t="str">
        <f>"PLACE DE LAMEILHE"</f>
        <v>PLACE DE LAMEILHE</v>
      </c>
      <c r="H1586" t="str">
        <f>"81100"</f>
        <v>81100</v>
      </c>
      <c r="I1586" t="str">
        <f>"CASTRES"</f>
        <v>CASTRES</v>
      </c>
      <c r="J1586" t="str">
        <f>"05 63 42 65 35 "</f>
        <v xml:space="preserve">05 63 42 65 35 </v>
      </c>
      <c r="L1586" s="1">
        <v>42989</v>
      </c>
      <c r="M1586" t="str">
        <f t="shared" si="266"/>
        <v>124</v>
      </c>
      <c r="N1586" t="str">
        <f t="shared" si="267"/>
        <v>Centre de Santé</v>
      </c>
      <c r="O1586" t="str">
        <f>"47"</f>
        <v>47</v>
      </c>
      <c r="P1586" t="str">
        <f>"Société Mutualiste"</f>
        <v>Société Mutualiste</v>
      </c>
      <c r="Q1586" t="str">
        <f t="shared" si="274"/>
        <v>36</v>
      </c>
      <c r="R1586" t="str">
        <f t="shared" si="275"/>
        <v>Tarifs conventionnels assurance maladie</v>
      </c>
      <c r="U1586" t="str">
        <f>"810099903"</f>
        <v>810099903</v>
      </c>
    </row>
    <row r="1587" spans="1:21" x14ac:dyDescent="0.3">
      <c r="A1587" t="str">
        <f>"850026816"</f>
        <v>850026816</v>
      </c>
      <c r="B1587" t="str">
        <f>"218 501 914 00558"</f>
        <v>218 501 914 00558</v>
      </c>
      <c r="D1587" t="str">
        <f>"CENTRE MUNICIPAL DE SANTE"</f>
        <v>CENTRE MUNICIPAL DE SANTE</v>
      </c>
      <c r="F1587" t="str">
        <f>"2 RUE DES ETANGS"</f>
        <v>2 RUE DES ETANGS</v>
      </c>
      <c r="H1587" t="str">
        <f>"85000"</f>
        <v>85000</v>
      </c>
      <c r="I1587" t="str">
        <f>"LA ROCHE SUR YON"</f>
        <v>LA ROCHE SUR YON</v>
      </c>
      <c r="J1587" t="str">
        <f>"02 51 62 16 02 "</f>
        <v xml:space="preserve">02 51 62 16 02 </v>
      </c>
      <c r="K1587" t="str">
        <f>"02 51 62 97 78"</f>
        <v>02 51 62 97 78</v>
      </c>
      <c r="L1587" s="1">
        <v>42982</v>
      </c>
      <c r="M1587" t="str">
        <f t="shared" si="266"/>
        <v>124</v>
      </c>
      <c r="N1587" t="str">
        <f t="shared" si="267"/>
        <v>Centre de Santé</v>
      </c>
      <c r="O1587" t="str">
        <f>"03"</f>
        <v>03</v>
      </c>
      <c r="P1587" t="str">
        <f>"Commune"</f>
        <v>Commune</v>
      </c>
      <c r="Q1587" t="str">
        <f t="shared" si="274"/>
        <v>36</v>
      </c>
      <c r="R1587" t="str">
        <f t="shared" si="275"/>
        <v>Tarifs conventionnels assurance maladie</v>
      </c>
      <c r="U1587" t="str">
        <f>"850026808"</f>
        <v>850026808</v>
      </c>
    </row>
    <row r="1588" spans="1:21" x14ac:dyDescent="0.3">
      <c r="A1588" t="str">
        <f>"780024121"</f>
        <v>780024121</v>
      </c>
      <c r="B1588" t="str">
        <f>"830 324 802 00032"</f>
        <v>830 324 802 00032</v>
      </c>
      <c r="D1588" t="str">
        <f>"CDS DENTAIRE DE SARTROUVILLE"</f>
        <v>CDS DENTAIRE DE SARTROUVILLE</v>
      </c>
      <c r="F1588" t="str">
        <f>"13 AVENUE DE LA REPUBLIQUE"</f>
        <v>13 AVENUE DE LA REPUBLIQUE</v>
      </c>
      <c r="H1588" t="str">
        <f>"78500"</f>
        <v>78500</v>
      </c>
      <c r="I1588" t="str">
        <f>"SARTROUVILLE"</f>
        <v>SARTROUVILLE</v>
      </c>
      <c r="L1588" s="1">
        <v>42975</v>
      </c>
      <c r="M1588" t="str">
        <f t="shared" si="266"/>
        <v>124</v>
      </c>
      <c r="N1588" t="str">
        <f t="shared" si="267"/>
        <v>Centre de Santé</v>
      </c>
      <c r="O1588" t="str">
        <f>"60"</f>
        <v>60</v>
      </c>
      <c r="P1588" t="str">
        <f>"Association Loi 1901 non Reconnue d'Utilité Publique"</f>
        <v>Association Loi 1901 non Reconnue d'Utilité Publique</v>
      </c>
      <c r="Q1588" t="str">
        <f t="shared" si="274"/>
        <v>36</v>
      </c>
      <c r="R1588" t="str">
        <f t="shared" si="275"/>
        <v>Tarifs conventionnels assurance maladie</v>
      </c>
      <c r="U1588" t="str">
        <f>"780029443"</f>
        <v>780029443</v>
      </c>
    </row>
    <row r="1589" spans="1:21" x14ac:dyDescent="0.3">
      <c r="A1589" t="str">
        <f>"690042791"</f>
        <v>690042791</v>
      </c>
      <c r="D1589" t="str">
        <f>"CENTRE DE SANTE UCBL1 - LA DOUA"</f>
        <v>CENTRE DE SANTE UCBL1 - LA DOUA</v>
      </c>
      <c r="F1589" t="str">
        <f>"6 RUE DE L'EMETTEUR"</f>
        <v>6 RUE DE L'EMETTEUR</v>
      </c>
      <c r="H1589" t="str">
        <f>"69100"</f>
        <v>69100</v>
      </c>
      <c r="I1589" t="str">
        <f>"VILLEURBANNE"</f>
        <v>VILLEURBANNE</v>
      </c>
      <c r="J1589" t="str">
        <f>"04 27 46 57 57 "</f>
        <v xml:space="preserve">04 27 46 57 57 </v>
      </c>
      <c r="L1589" s="1">
        <v>42968</v>
      </c>
      <c r="M1589" t="str">
        <f t="shared" si="266"/>
        <v>124</v>
      </c>
      <c r="N1589" t="str">
        <f t="shared" si="267"/>
        <v>Centre de Santé</v>
      </c>
      <c r="O1589" t="str">
        <f>"26"</f>
        <v>26</v>
      </c>
      <c r="P1589" t="str">
        <f>"Autre Etablissement Public à Caractère Administratif"</f>
        <v>Autre Etablissement Public à Caractère Administratif</v>
      </c>
      <c r="Q1589" t="str">
        <f t="shared" si="274"/>
        <v>36</v>
      </c>
      <c r="R1589" t="str">
        <f t="shared" si="275"/>
        <v>Tarifs conventionnels assurance maladie</v>
      </c>
      <c r="U1589" t="str">
        <f>"690022991"</f>
        <v>690022991</v>
      </c>
    </row>
    <row r="1590" spans="1:21" x14ac:dyDescent="0.3">
      <c r="A1590" t="str">
        <f>"690042809"</f>
        <v>690042809</v>
      </c>
      <c r="D1590" t="str">
        <f>"CENTRE DE SANTE UCBL1 - ROCKEFELLER"</f>
        <v>CENTRE DE SANTE UCBL1 - ROCKEFELLER</v>
      </c>
      <c r="F1590" t="str">
        <f>"8 AVENUE ROCKEFELLER"</f>
        <v>8 AVENUE ROCKEFELLER</v>
      </c>
      <c r="H1590" t="str">
        <f>"69373"</f>
        <v>69373</v>
      </c>
      <c r="I1590" t="str">
        <f>"LYON CEDEX 08"</f>
        <v>LYON CEDEX 08</v>
      </c>
      <c r="J1590" t="str">
        <f>"04 27 46 57 57 "</f>
        <v xml:space="preserve">04 27 46 57 57 </v>
      </c>
      <c r="L1590" s="1">
        <v>42968</v>
      </c>
      <c r="M1590" t="str">
        <f t="shared" si="266"/>
        <v>124</v>
      </c>
      <c r="N1590" t="str">
        <f t="shared" si="267"/>
        <v>Centre de Santé</v>
      </c>
      <c r="O1590" t="str">
        <f>"26"</f>
        <v>26</v>
      </c>
      <c r="P1590" t="str">
        <f>"Autre Etablissement Public à Caractère Administratif"</f>
        <v>Autre Etablissement Public à Caractère Administratif</v>
      </c>
      <c r="Q1590" t="str">
        <f t="shared" si="274"/>
        <v>36</v>
      </c>
      <c r="R1590" t="str">
        <f t="shared" si="275"/>
        <v>Tarifs conventionnels assurance maladie</v>
      </c>
      <c r="U1590" t="str">
        <f>"690022991"</f>
        <v>690022991</v>
      </c>
    </row>
    <row r="1591" spans="1:21" x14ac:dyDescent="0.3">
      <c r="A1591" t="str">
        <f>"690042817"</f>
        <v>690042817</v>
      </c>
      <c r="D1591" t="str">
        <f>"CENTRE DE SANTE UCBL1 - LYON SUD"</f>
        <v>CENTRE DE SANTE UCBL1 - LYON SUD</v>
      </c>
      <c r="F1591" t="str">
        <f>"165 RUE DU PETIT REVOYET"</f>
        <v>165 RUE DU PETIT REVOYET</v>
      </c>
      <c r="G1591" t="str">
        <f>"BP 12"</f>
        <v>BP 12</v>
      </c>
      <c r="H1591" t="str">
        <f>"69921"</f>
        <v>69921</v>
      </c>
      <c r="I1591" t="str">
        <f>"OULLINS CEDEX"</f>
        <v>OULLINS CEDEX</v>
      </c>
      <c r="J1591" t="str">
        <f>"04 27 46 57 57 "</f>
        <v xml:space="preserve">04 27 46 57 57 </v>
      </c>
      <c r="L1591" s="1">
        <v>42968</v>
      </c>
      <c r="M1591" t="str">
        <f t="shared" si="266"/>
        <v>124</v>
      </c>
      <c r="N1591" t="str">
        <f t="shared" si="267"/>
        <v>Centre de Santé</v>
      </c>
      <c r="O1591" t="str">
        <f>"26"</f>
        <v>26</v>
      </c>
      <c r="P1591" t="str">
        <f>"Autre Etablissement Public à Caractère Administratif"</f>
        <v>Autre Etablissement Public à Caractère Administratif</v>
      </c>
      <c r="Q1591" t="str">
        <f t="shared" si="274"/>
        <v>36</v>
      </c>
      <c r="R1591" t="str">
        <f t="shared" si="275"/>
        <v>Tarifs conventionnels assurance maladie</v>
      </c>
      <c r="U1591" t="str">
        <f>"690022991"</f>
        <v>690022991</v>
      </c>
    </row>
    <row r="1592" spans="1:21" x14ac:dyDescent="0.3">
      <c r="A1592" t="str">
        <f>"690042833"</f>
        <v>690042833</v>
      </c>
      <c r="B1592" t="str">
        <f>"348 384 330 00034"</f>
        <v>348 384 330 00034</v>
      </c>
      <c r="D1592" t="str">
        <f>"CENTRE SANTE OBSTETRICAL EST LYONNAIS"</f>
        <v>CENTRE SANTE OBSTETRICAL EST LYONNAIS</v>
      </c>
      <c r="F1592" t="str">
        <f>"22 AVENUE ROCKEFELLER"</f>
        <v>22 AVENUE ROCKEFELLER</v>
      </c>
      <c r="H1592" t="str">
        <f>"69008"</f>
        <v>69008</v>
      </c>
      <c r="I1592" t="str">
        <f>"LYON"</f>
        <v>LYON</v>
      </c>
      <c r="J1592" t="str">
        <f>"04 37 90 33 56 "</f>
        <v xml:space="preserve">04 37 90 33 56 </v>
      </c>
      <c r="L1592" s="1">
        <v>42968</v>
      </c>
      <c r="M1592" t="str">
        <f t="shared" si="266"/>
        <v>124</v>
      </c>
      <c r="N1592" t="str">
        <f t="shared" si="267"/>
        <v>Centre de Santé</v>
      </c>
      <c r="O1592" t="str">
        <f>"95"</f>
        <v>95</v>
      </c>
      <c r="P1592" t="str">
        <f>"Société par Actions Simplifiée (S.A.S.)"</f>
        <v>Société par Actions Simplifiée (S.A.S.)</v>
      </c>
      <c r="Q1592" t="str">
        <f t="shared" si="274"/>
        <v>36</v>
      </c>
      <c r="R1592" t="str">
        <f t="shared" si="275"/>
        <v>Tarifs conventionnels assurance maladie</v>
      </c>
      <c r="U1592" t="str">
        <f>"690000732"</f>
        <v>690000732</v>
      </c>
    </row>
    <row r="1593" spans="1:21" x14ac:dyDescent="0.3">
      <c r="A1593" t="str">
        <f>"950043471"</f>
        <v>950043471</v>
      </c>
      <c r="D1593" t="str">
        <f>"CDS ESTHEDENT"</f>
        <v>CDS ESTHEDENT</v>
      </c>
      <c r="F1593" t="str">
        <f>"52 BOULEVARD ROGER SALENGRO"</f>
        <v>52 BOULEVARD ROGER SALENGRO</v>
      </c>
      <c r="H1593" t="str">
        <f>"95190"</f>
        <v>95190</v>
      </c>
      <c r="I1593" t="str">
        <f>"GOUSSAINVILLE"</f>
        <v>GOUSSAINVILLE</v>
      </c>
      <c r="J1593" t="str">
        <f>"01 39 35 58 90 "</f>
        <v xml:space="preserve">01 39 35 58 90 </v>
      </c>
      <c r="L1593" s="1">
        <v>42956</v>
      </c>
      <c r="M1593" t="str">
        <f t="shared" si="266"/>
        <v>124</v>
      </c>
      <c r="N1593" t="str">
        <f t="shared" si="267"/>
        <v>Centre de Santé</v>
      </c>
      <c r="O1593" t="str">
        <f>"60"</f>
        <v>60</v>
      </c>
      <c r="P1593" t="str">
        <f>"Association Loi 1901 non Reconnue d'Utilité Publique"</f>
        <v>Association Loi 1901 non Reconnue d'Utilité Publique</v>
      </c>
      <c r="Q1593" t="str">
        <f t="shared" si="274"/>
        <v>36</v>
      </c>
      <c r="R1593" t="str">
        <f t="shared" si="275"/>
        <v>Tarifs conventionnels assurance maladie</v>
      </c>
      <c r="U1593" t="str">
        <f>"950043463"</f>
        <v>950043463</v>
      </c>
    </row>
    <row r="1594" spans="1:21" x14ac:dyDescent="0.3">
      <c r="A1594" t="str">
        <f>"590059630"</f>
        <v>590059630</v>
      </c>
      <c r="B1594" t="str">
        <f>"831 333 315 00024"</f>
        <v>831 333 315 00024</v>
      </c>
      <c r="D1594" t="str">
        <f>"CENTRE DE SANTE DENTAIRE CURNONSKY"</f>
        <v>CENTRE DE SANTE DENTAIRE CURNONSKY</v>
      </c>
      <c r="F1594" t="str">
        <f>"224 RUE JEAN JAURÈS"</f>
        <v>224 RUE JEAN JAURÈS</v>
      </c>
      <c r="H1594" t="str">
        <f>"59410"</f>
        <v>59410</v>
      </c>
      <c r="I1594" t="str">
        <f>"ANZIN"</f>
        <v>ANZIN</v>
      </c>
      <c r="J1594" t="str">
        <f>"03 27 25 58 25 "</f>
        <v xml:space="preserve">03 27 25 58 25 </v>
      </c>
      <c r="L1594" s="1">
        <v>42954</v>
      </c>
      <c r="M1594" t="str">
        <f t="shared" si="266"/>
        <v>124</v>
      </c>
      <c r="N1594" t="str">
        <f t="shared" si="267"/>
        <v>Centre de Santé</v>
      </c>
      <c r="O1594" t="str">
        <f>"61"</f>
        <v>61</v>
      </c>
      <c r="P1594" t="str">
        <f>"Association Loi 1901 Reconnue d'Utilité Publique"</f>
        <v>Association Loi 1901 Reconnue d'Utilité Publique</v>
      </c>
      <c r="Q1594" t="str">
        <f t="shared" si="274"/>
        <v>36</v>
      </c>
      <c r="R1594" t="str">
        <f t="shared" si="275"/>
        <v>Tarifs conventionnels assurance maladie</v>
      </c>
      <c r="U1594" t="str">
        <f>"590059622"</f>
        <v>590059622</v>
      </c>
    </row>
    <row r="1595" spans="1:21" x14ac:dyDescent="0.3">
      <c r="A1595" t="str">
        <f>"750060394"</f>
        <v>750060394</v>
      </c>
      <c r="D1595" t="str">
        <f>"CDS DU CANAL"</f>
        <v>CDS DU CANAL</v>
      </c>
      <c r="F1595" t="str">
        <f>"4 RUE DE THIONVILLE"</f>
        <v>4 RUE DE THIONVILLE</v>
      </c>
      <c r="H1595" t="str">
        <f>"75019"</f>
        <v>75019</v>
      </c>
      <c r="I1595" t="str">
        <f>"PARIS"</f>
        <v>PARIS</v>
      </c>
      <c r="J1595" t="str">
        <f>"01 42 00 20 20 "</f>
        <v xml:space="preserve">01 42 00 20 20 </v>
      </c>
      <c r="L1595" s="1">
        <v>42949</v>
      </c>
      <c r="M1595" t="str">
        <f t="shared" si="266"/>
        <v>124</v>
      </c>
      <c r="N1595" t="str">
        <f t="shared" si="267"/>
        <v>Centre de Santé</v>
      </c>
      <c r="O1595" t="str">
        <f>"60"</f>
        <v>60</v>
      </c>
      <c r="P1595" t="str">
        <f>"Association Loi 1901 non Reconnue d'Utilité Publique"</f>
        <v>Association Loi 1901 non Reconnue d'Utilité Publique</v>
      </c>
      <c r="Q1595" t="str">
        <f t="shared" si="274"/>
        <v>36</v>
      </c>
      <c r="R1595" t="str">
        <f t="shared" si="275"/>
        <v>Tarifs conventionnels assurance maladie</v>
      </c>
      <c r="U1595" t="str">
        <f>"750058182"</f>
        <v>750058182</v>
      </c>
    </row>
    <row r="1596" spans="1:21" x14ac:dyDescent="0.3">
      <c r="A1596" t="str">
        <f>"930027628"</f>
        <v>930027628</v>
      </c>
      <c r="B1596" t="str">
        <f>"920 553 872 00010"</f>
        <v>920 553 872 00010</v>
      </c>
      <c r="D1596" t="str">
        <f>"CDS DENTAIRE DE ROMAINVILLE"</f>
        <v>CDS DENTAIRE DE ROMAINVILLE</v>
      </c>
      <c r="E1596" t="str">
        <f>"23-27"</f>
        <v>23-27</v>
      </c>
      <c r="F1596" t="str">
        <f>"23 RUE CARNOT"</f>
        <v>23 RUE CARNOT</v>
      </c>
      <c r="H1596" t="str">
        <f>"93230"</f>
        <v>93230</v>
      </c>
      <c r="I1596" t="str">
        <f>"ROMAINVILLE"</f>
        <v>ROMAINVILLE</v>
      </c>
      <c r="J1596" t="str">
        <f>"01 48 44 30 00 "</f>
        <v xml:space="preserve">01 48 44 30 00 </v>
      </c>
      <c r="L1596" s="1">
        <v>42943</v>
      </c>
      <c r="M1596" t="str">
        <f t="shared" si="266"/>
        <v>124</v>
      </c>
      <c r="N1596" t="str">
        <f t="shared" si="267"/>
        <v>Centre de Santé</v>
      </c>
      <c r="O1596" t="str">
        <f>"60"</f>
        <v>60</v>
      </c>
      <c r="P1596" t="str">
        <f>"Association Loi 1901 non Reconnue d'Utilité Publique"</f>
        <v>Association Loi 1901 non Reconnue d'Utilité Publique</v>
      </c>
      <c r="Q1596" t="str">
        <f t="shared" si="274"/>
        <v>36</v>
      </c>
      <c r="R1596" t="str">
        <f t="shared" si="275"/>
        <v>Tarifs conventionnels assurance maladie</v>
      </c>
      <c r="U1596" t="str">
        <f>"930033592"</f>
        <v>930033592</v>
      </c>
    </row>
    <row r="1597" spans="1:21" x14ac:dyDescent="0.3">
      <c r="A1597" t="str">
        <f>"750060352"</f>
        <v>750060352</v>
      </c>
      <c r="D1597" t="str">
        <f>"CDS DENTAIRE SAUSSURE"</f>
        <v>CDS DENTAIRE SAUSSURE</v>
      </c>
      <c r="F1597" t="str">
        <f>"122 RUE SAUSSURE"</f>
        <v>122 RUE SAUSSURE</v>
      </c>
      <c r="H1597" t="str">
        <f>"75017"</f>
        <v>75017</v>
      </c>
      <c r="I1597" t="str">
        <f>"PARIS"</f>
        <v>PARIS</v>
      </c>
      <c r="L1597" s="1">
        <v>42941</v>
      </c>
      <c r="M1597" t="str">
        <f t="shared" si="266"/>
        <v>124</v>
      </c>
      <c r="N1597" t="str">
        <f t="shared" si="267"/>
        <v>Centre de Santé</v>
      </c>
      <c r="O1597" t="str">
        <f>"60"</f>
        <v>60</v>
      </c>
      <c r="P1597" t="str">
        <f>"Association Loi 1901 non Reconnue d'Utilité Publique"</f>
        <v>Association Loi 1901 non Reconnue d'Utilité Publique</v>
      </c>
      <c r="Q1597" t="str">
        <f t="shared" si="274"/>
        <v>36</v>
      </c>
      <c r="R1597" t="str">
        <f t="shared" si="275"/>
        <v>Tarifs conventionnels assurance maladie</v>
      </c>
      <c r="U1597" t="str">
        <f>"750057440"</f>
        <v>750057440</v>
      </c>
    </row>
    <row r="1598" spans="1:21" x14ac:dyDescent="0.3">
      <c r="A1598" t="str">
        <f>"620033092"</f>
        <v>620033092</v>
      </c>
      <c r="B1598" t="str">
        <f>"783 712 045 01102"</f>
        <v>783 712 045 01102</v>
      </c>
      <c r="D1598" t="str">
        <f>"C S DENTAIRE D'AUXI LE CHÂTEAU"</f>
        <v>C S DENTAIRE D'AUXI LE CHÂTEAU</v>
      </c>
      <c r="F1598" t="str">
        <f>"75 RUE DU GÉNÉRAL LECLERC"</f>
        <v>75 RUE DU GÉNÉRAL LECLERC</v>
      </c>
      <c r="H1598" t="str">
        <f>"62390"</f>
        <v>62390</v>
      </c>
      <c r="I1598" t="str">
        <f>"AUXI LE CHATEAU"</f>
        <v>AUXI LE CHATEAU</v>
      </c>
      <c r="J1598" t="str">
        <f>"03 21 47 53 66 "</f>
        <v xml:space="preserve">03 21 47 53 66 </v>
      </c>
      <c r="L1598" s="1">
        <v>42936</v>
      </c>
      <c r="M1598" t="str">
        <f t="shared" si="266"/>
        <v>124</v>
      </c>
      <c r="N1598" t="str">
        <f t="shared" si="267"/>
        <v>Centre de Santé</v>
      </c>
      <c r="O1598" t="str">
        <f>"47"</f>
        <v>47</v>
      </c>
      <c r="P1598" t="str">
        <f>"Société Mutualiste"</f>
        <v>Société Mutualiste</v>
      </c>
      <c r="Q1598" t="str">
        <f t="shared" si="274"/>
        <v>36</v>
      </c>
      <c r="R1598" t="str">
        <f t="shared" si="275"/>
        <v>Tarifs conventionnels assurance maladie</v>
      </c>
      <c r="U1598" t="str">
        <f>"590024469"</f>
        <v>590024469</v>
      </c>
    </row>
    <row r="1599" spans="1:21" x14ac:dyDescent="0.3">
      <c r="A1599" t="str">
        <f>"920031325"</f>
        <v>920031325</v>
      </c>
      <c r="B1599" t="str">
        <f>"829 112 325 00016"</f>
        <v>829 112 325 00016</v>
      </c>
      <c r="D1599" t="str">
        <f>"CDS DENTAIRE COURBEVOIE PONT LEVALLOIS"</f>
        <v>CDS DENTAIRE COURBEVOIE PONT LEVALLOIS</v>
      </c>
      <c r="F1599" t="str">
        <f>"273 BOULEVARD SAINT-DENIS"</f>
        <v>273 BOULEVARD SAINT-DENIS</v>
      </c>
      <c r="H1599" t="str">
        <f>"92400"</f>
        <v>92400</v>
      </c>
      <c r="I1599" t="str">
        <f>"COURBEVOIE"</f>
        <v>COURBEVOIE</v>
      </c>
      <c r="L1599" s="1">
        <v>42936</v>
      </c>
      <c r="M1599" t="str">
        <f t="shared" si="266"/>
        <v>124</v>
      </c>
      <c r="N1599" t="str">
        <f t="shared" si="267"/>
        <v>Centre de Santé</v>
      </c>
      <c r="O1599" t="str">
        <f>"60"</f>
        <v>60</v>
      </c>
      <c r="P1599" t="str">
        <f>"Association Loi 1901 non Reconnue d'Utilité Publique"</f>
        <v>Association Loi 1901 non Reconnue d'Utilité Publique</v>
      </c>
      <c r="Q1599" t="str">
        <f t="shared" si="274"/>
        <v>36</v>
      </c>
      <c r="R1599" t="str">
        <f t="shared" si="275"/>
        <v>Tarifs conventionnels assurance maladie</v>
      </c>
      <c r="U1599" t="str">
        <f>"920031317"</f>
        <v>920031317</v>
      </c>
    </row>
    <row r="1600" spans="1:21" x14ac:dyDescent="0.3">
      <c r="A1600" t="str">
        <f>"930027610"</f>
        <v>930027610</v>
      </c>
      <c r="B1600" t="str">
        <f>"830 073 276 00222"</f>
        <v>830 073 276 00222</v>
      </c>
      <c r="D1600" t="str">
        <f>"CDS DENTAIRE SAINT-OUEN - GABRIEL PERI"</f>
        <v>CDS DENTAIRE SAINT-OUEN - GABRIEL PERI</v>
      </c>
      <c r="F1600" t="str">
        <f>"132 AVENUE GABRIEL PERI"</f>
        <v>132 AVENUE GABRIEL PERI</v>
      </c>
      <c r="H1600" t="str">
        <f>"93400"</f>
        <v>93400</v>
      </c>
      <c r="I1600" t="str">
        <f>"ST OUEN SUR SEINE"</f>
        <v>ST OUEN SUR SEINE</v>
      </c>
      <c r="J1600" t="str">
        <f>"01 86 90 06 30 "</f>
        <v xml:space="preserve">01 86 90 06 30 </v>
      </c>
      <c r="K1600" t="str">
        <f>"01 86 90 06 30"</f>
        <v>01 86 90 06 30</v>
      </c>
      <c r="L1600" s="1">
        <v>42936</v>
      </c>
      <c r="M1600" t="str">
        <f t="shared" si="266"/>
        <v>124</v>
      </c>
      <c r="N1600" t="str">
        <f t="shared" si="267"/>
        <v>Centre de Santé</v>
      </c>
      <c r="O1600" t="str">
        <f>"60"</f>
        <v>60</v>
      </c>
      <c r="P1600" t="str">
        <f>"Association Loi 1901 non Reconnue d'Utilité Publique"</f>
        <v>Association Loi 1901 non Reconnue d'Utilité Publique</v>
      </c>
      <c r="Q1600" t="str">
        <f t="shared" si="274"/>
        <v>36</v>
      </c>
      <c r="R1600" t="str">
        <f t="shared" si="275"/>
        <v>Tarifs conventionnels assurance maladie</v>
      </c>
      <c r="U1600" t="str">
        <f>"750060345"</f>
        <v>750060345</v>
      </c>
    </row>
    <row r="1601" spans="1:21" x14ac:dyDescent="0.3">
      <c r="A1601" t="str">
        <f>"750060303"</f>
        <v>750060303</v>
      </c>
      <c r="D1601" t="str">
        <f>"CDS MEDICO-DENTAIREJAURES STALINGRAD"</f>
        <v>CDS MEDICO-DENTAIREJAURES STALINGRAD</v>
      </c>
      <c r="F1601" t="str">
        <f>"1 PLACE LA BATAILLE DE STALINGRAD"</f>
        <v>1 PLACE LA BATAILLE DE STALINGRAD</v>
      </c>
      <c r="H1601" t="str">
        <f>"75010"</f>
        <v>75010</v>
      </c>
      <c r="I1601" t="str">
        <f>"PARIS"</f>
        <v>PARIS</v>
      </c>
      <c r="L1601" s="1">
        <v>42935</v>
      </c>
      <c r="M1601" t="str">
        <f t="shared" si="266"/>
        <v>124</v>
      </c>
      <c r="N1601" t="str">
        <f t="shared" si="267"/>
        <v>Centre de Santé</v>
      </c>
      <c r="O1601" t="str">
        <f>"60"</f>
        <v>60</v>
      </c>
      <c r="P1601" t="str">
        <f>"Association Loi 1901 non Reconnue d'Utilité Publique"</f>
        <v>Association Loi 1901 non Reconnue d'Utilité Publique</v>
      </c>
      <c r="Q1601" t="str">
        <f t="shared" si="274"/>
        <v>36</v>
      </c>
      <c r="R1601" t="str">
        <f t="shared" si="275"/>
        <v>Tarifs conventionnels assurance maladie</v>
      </c>
      <c r="U1601" t="str">
        <f>"750060295"</f>
        <v>750060295</v>
      </c>
    </row>
    <row r="1602" spans="1:21" x14ac:dyDescent="0.3">
      <c r="A1602" t="str">
        <f>"750060337"</f>
        <v>750060337</v>
      </c>
      <c r="D1602" t="str">
        <f>"CDS DENTAIRE PERNETY"</f>
        <v>CDS DENTAIRE PERNETY</v>
      </c>
      <c r="F1602" t="str">
        <f>"62 RUE RAYMOND LOSSERAND"</f>
        <v>62 RUE RAYMOND LOSSERAND</v>
      </c>
      <c r="H1602" t="str">
        <f>"75014"</f>
        <v>75014</v>
      </c>
      <c r="I1602" t="str">
        <f>"PARIS"</f>
        <v>PARIS</v>
      </c>
      <c r="L1602" s="1">
        <v>42935</v>
      </c>
      <c r="M1602" t="str">
        <f t="shared" ref="M1602:M1665" si="276">"124"</f>
        <v>124</v>
      </c>
      <c r="N1602" t="str">
        <f t="shared" ref="N1602:N1665" si="277">"Centre de Santé"</f>
        <v>Centre de Santé</v>
      </c>
      <c r="O1602" t="str">
        <f>"60"</f>
        <v>60</v>
      </c>
      <c r="P1602" t="str">
        <f>"Association Loi 1901 non Reconnue d'Utilité Publique"</f>
        <v>Association Loi 1901 non Reconnue d'Utilité Publique</v>
      </c>
      <c r="Q1602" t="str">
        <f t="shared" si="274"/>
        <v>36</v>
      </c>
      <c r="R1602" t="str">
        <f t="shared" si="275"/>
        <v>Tarifs conventionnels assurance maladie</v>
      </c>
      <c r="U1602" t="str">
        <f>"750060311"</f>
        <v>750060311</v>
      </c>
    </row>
    <row r="1603" spans="1:21" x14ac:dyDescent="0.3">
      <c r="A1603" t="str">
        <f>"590059572"</f>
        <v>590059572</v>
      </c>
      <c r="B1603" t="str">
        <f>"849 930 078 00027"</f>
        <v>849 930 078 00027</v>
      </c>
      <c r="D1603" t="str">
        <f>"CS INFIRMIER DE LOMME"</f>
        <v>CS INFIRMIER DE LOMME</v>
      </c>
      <c r="F1603" t="str">
        <f>"58 RUE VICTOR HUGO"</f>
        <v>58 RUE VICTOR HUGO</v>
      </c>
      <c r="G1603" t="str">
        <f>"(59160 LOMME)"</f>
        <v>(59160 LOMME)</v>
      </c>
      <c r="H1603" t="str">
        <f>"59160"</f>
        <v>59160</v>
      </c>
      <c r="I1603" t="str">
        <f>"LILLE"</f>
        <v>LILLE</v>
      </c>
      <c r="L1603" s="1">
        <v>42928</v>
      </c>
      <c r="M1603" t="str">
        <f t="shared" si="276"/>
        <v>124</v>
      </c>
      <c r="N1603" t="str">
        <f t="shared" si="277"/>
        <v>Centre de Santé</v>
      </c>
      <c r="O1603" t="str">
        <f>"61"</f>
        <v>61</v>
      </c>
      <c r="P1603" t="str">
        <f>"Association Loi 1901 Reconnue d'Utilité Publique"</f>
        <v>Association Loi 1901 Reconnue d'Utilité Publique</v>
      </c>
      <c r="Q1603" t="str">
        <f t="shared" si="274"/>
        <v>36</v>
      </c>
      <c r="R1603" t="str">
        <f t="shared" si="275"/>
        <v>Tarifs conventionnels assurance maladie</v>
      </c>
      <c r="U1603" t="str">
        <f>"590062378"</f>
        <v>590062378</v>
      </c>
    </row>
    <row r="1604" spans="1:21" x14ac:dyDescent="0.3">
      <c r="A1604" t="str">
        <f>"750060261"</f>
        <v>750060261</v>
      </c>
      <c r="D1604" t="str">
        <f>"CDS DENTAIRE CDC"</f>
        <v>CDS DENTAIRE CDC</v>
      </c>
      <c r="F1604" t="str">
        <f>"98 RUE DE LA CHAPELLE"</f>
        <v>98 RUE DE LA CHAPELLE</v>
      </c>
      <c r="H1604" t="str">
        <f>"75018"</f>
        <v>75018</v>
      </c>
      <c r="I1604" t="str">
        <f>"PARIS"</f>
        <v>PARIS</v>
      </c>
      <c r="L1604" s="1">
        <v>42923</v>
      </c>
      <c r="M1604" t="str">
        <f t="shared" si="276"/>
        <v>124</v>
      </c>
      <c r="N1604" t="str">
        <f t="shared" si="277"/>
        <v>Centre de Santé</v>
      </c>
      <c r="O1604" t="str">
        <f>"60"</f>
        <v>60</v>
      </c>
      <c r="P1604" t="str">
        <f>"Association Loi 1901 non Reconnue d'Utilité Publique"</f>
        <v>Association Loi 1901 non Reconnue d'Utilité Publique</v>
      </c>
      <c r="Q1604" t="str">
        <f t="shared" si="274"/>
        <v>36</v>
      </c>
      <c r="R1604" t="str">
        <f t="shared" si="275"/>
        <v>Tarifs conventionnels assurance maladie</v>
      </c>
      <c r="U1604" t="str">
        <f>"750060253"</f>
        <v>750060253</v>
      </c>
    </row>
    <row r="1605" spans="1:21" x14ac:dyDescent="0.3">
      <c r="A1605" t="str">
        <f>"920031283"</f>
        <v>920031283</v>
      </c>
      <c r="D1605" t="str">
        <f>"CDS MEDICO-DENTAIRE GENNEVILLIERS"</f>
        <v>CDS MEDICO-DENTAIRE GENNEVILLIERS</v>
      </c>
      <c r="F1605" t="str">
        <f>"1 RUE HENRI BARBUSSE"</f>
        <v>1 RUE HENRI BARBUSSE</v>
      </c>
      <c r="H1605" t="str">
        <f>"92230"</f>
        <v>92230</v>
      </c>
      <c r="I1605" t="str">
        <f>"GENNEVILLIERS"</f>
        <v>GENNEVILLIERS</v>
      </c>
      <c r="L1605" s="1">
        <v>42923</v>
      </c>
      <c r="M1605" t="str">
        <f t="shared" si="276"/>
        <v>124</v>
      </c>
      <c r="N1605" t="str">
        <f t="shared" si="277"/>
        <v>Centre de Santé</v>
      </c>
      <c r="O1605" t="str">
        <f>"60"</f>
        <v>60</v>
      </c>
      <c r="P1605" t="str">
        <f>"Association Loi 1901 non Reconnue d'Utilité Publique"</f>
        <v>Association Loi 1901 non Reconnue d'Utilité Publique</v>
      </c>
      <c r="Q1605" t="str">
        <f t="shared" si="274"/>
        <v>36</v>
      </c>
      <c r="R1605" t="str">
        <f t="shared" si="275"/>
        <v>Tarifs conventionnels assurance maladie</v>
      </c>
      <c r="U1605" t="str">
        <f>"920031275"</f>
        <v>920031275</v>
      </c>
    </row>
    <row r="1606" spans="1:21" x14ac:dyDescent="0.3">
      <c r="A1606" t="str">
        <f>"920031309"</f>
        <v>920031309</v>
      </c>
      <c r="D1606" t="str">
        <f>"CDS DENTAIRE ALAVIA"</f>
        <v>CDS DENTAIRE ALAVIA</v>
      </c>
      <c r="F1606" t="str">
        <f>"87 RUE ARISTIDE BRIAND"</f>
        <v>87 RUE ARISTIDE BRIAND</v>
      </c>
      <c r="H1606" t="str">
        <f>"92300"</f>
        <v>92300</v>
      </c>
      <c r="I1606" t="str">
        <f>"LEVALLOIS PERRET"</f>
        <v>LEVALLOIS PERRET</v>
      </c>
      <c r="L1606" s="1">
        <v>42923</v>
      </c>
      <c r="M1606" t="str">
        <f t="shared" si="276"/>
        <v>124</v>
      </c>
      <c r="N1606" t="str">
        <f t="shared" si="277"/>
        <v>Centre de Santé</v>
      </c>
      <c r="O1606" t="str">
        <f>"60"</f>
        <v>60</v>
      </c>
      <c r="P1606" t="str">
        <f>"Association Loi 1901 non Reconnue d'Utilité Publique"</f>
        <v>Association Loi 1901 non Reconnue d'Utilité Publique</v>
      </c>
      <c r="Q1606" t="str">
        <f t="shared" si="274"/>
        <v>36</v>
      </c>
      <c r="R1606" t="str">
        <f t="shared" si="275"/>
        <v>Tarifs conventionnels assurance maladie</v>
      </c>
      <c r="U1606" t="str">
        <f>"920031291"</f>
        <v>920031291</v>
      </c>
    </row>
    <row r="1607" spans="1:21" x14ac:dyDescent="0.3">
      <c r="A1607" t="str">
        <f>"970213104"</f>
        <v>970213104</v>
      </c>
      <c r="B1607" t="str">
        <f>"830 484 515 00010"</f>
        <v>830 484 515 00010</v>
      </c>
      <c r="D1607" t="str">
        <f>"CENTRE DENTAIRE HYGIDENT"</f>
        <v>CENTRE DENTAIRE HYGIDENT</v>
      </c>
      <c r="F1607" t="str">
        <f>"QUARTIER LA GASCHETTE"</f>
        <v>QUARTIER LA GASCHETTE</v>
      </c>
      <c r="G1607" t="str">
        <f>"CENTRE COMMECIAL OCEANIS"</f>
        <v>CENTRE COMMECIAL OCEANIS</v>
      </c>
      <c r="H1607" t="str">
        <f>"97231"</f>
        <v>97231</v>
      </c>
      <c r="I1607" t="str">
        <f>"LE ROBERT"</f>
        <v>LE ROBERT</v>
      </c>
      <c r="J1607" t="str">
        <f>"06 96 50 40 36 "</f>
        <v xml:space="preserve">06 96 50 40 36 </v>
      </c>
      <c r="L1607" s="1">
        <v>42922</v>
      </c>
      <c r="M1607" t="str">
        <f t="shared" si="276"/>
        <v>124</v>
      </c>
      <c r="N1607" t="str">
        <f t="shared" si="277"/>
        <v>Centre de Santé</v>
      </c>
      <c r="O1607" t="str">
        <f>"60"</f>
        <v>60</v>
      </c>
      <c r="P1607" t="str">
        <f>"Association Loi 1901 non Reconnue d'Utilité Publique"</f>
        <v>Association Loi 1901 non Reconnue d'Utilité Publique</v>
      </c>
      <c r="Q1607" t="str">
        <f t="shared" si="274"/>
        <v>36</v>
      </c>
      <c r="R1607" t="str">
        <f t="shared" si="275"/>
        <v>Tarifs conventionnels assurance maladie</v>
      </c>
      <c r="U1607" t="str">
        <f>"970213096"</f>
        <v>970213096</v>
      </c>
    </row>
    <row r="1608" spans="1:21" x14ac:dyDescent="0.3">
      <c r="A1608" t="str">
        <f>"810101998"</f>
        <v>810101998</v>
      </c>
      <c r="B1608" t="str">
        <f>"775 711 674 01007"</f>
        <v>775 711 674 01007</v>
      </c>
      <c r="D1608" t="str">
        <f>"CTRE DENT MUT CASTRES CLEMENCEAU"</f>
        <v>CTRE DENT MUT CASTRES CLEMENCEAU</v>
      </c>
      <c r="F1608" t="str">
        <f>"27 BOULEVARD GEORGES CLEMENCEAU"</f>
        <v>27 BOULEVARD GEORGES CLEMENCEAU</v>
      </c>
      <c r="H1608" t="str">
        <f>"81100"</f>
        <v>81100</v>
      </c>
      <c r="I1608" t="str">
        <f>"CASTRES"</f>
        <v>CASTRES</v>
      </c>
      <c r="J1608" t="str">
        <f>"05 63 71 80 90 "</f>
        <v xml:space="preserve">05 63 71 80 90 </v>
      </c>
      <c r="K1608" t="str">
        <f>"05 63 71 80 93"</f>
        <v>05 63 71 80 93</v>
      </c>
      <c r="L1608" s="1">
        <v>42917</v>
      </c>
      <c r="M1608" t="str">
        <f t="shared" si="276"/>
        <v>124</v>
      </c>
      <c r="N1608" t="str">
        <f t="shared" si="277"/>
        <v>Centre de Santé</v>
      </c>
      <c r="O1608" t="str">
        <f>"47"</f>
        <v>47</v>
      </c>
      <c r="P1608" t="str">
        <f>"Société Mutualiste"</f>
        <v>Société Mutualiste</v>
      </c>
      <c r="Q1608" t="str">
        <f t="shared" si="274"/>
        <v>36</v>
      </c>
      <c r="R1608" t="str">
        <f t="shared" si="275"/>
        <v>Tarifs conventionnels assurance maladie</v>
      </c>
      <c r="U1608" t="str">
        <f>"810099903"</f>
        <v>810099903</v>
      </c>
    </row>
    <row r="1609" spans="1:21" x14ac:dyDescent="0.3">
      <c r="A1609" t="str">
        <f>"330059247"</f>
        <v>330059247</v>
      </c>
      <c r="B1609" t="str">
        <f>"828 961 995 00010"</f>
        <v>828 961 995 00010</v>
      </c>
      <c r="D1609" t="str">
        <f>"CTRE SANTE HOSPITALO-COMMUNAL"</f>
        <v>CTRE SANTE HOSPITALO-COMMUNAL</v>
      </c>
      <c r="F1609" t="str">
        <f>"67 RUE GAMBETTA"</f>
        <v>67 RUE GAMBETTA</v>
      </c>
      <c r="H1609" t="str">
        <f>"33230"</f>
        <v>33230</v>
      </c>
      <c r="I1609" t="str">
        <f>"COUTRAS"</f>
        <v>COUTRAS</v>
      </c>
      <c r="J1609" t="str">
        <f>"05 57 69 74 19 "</f>
        <v xml:space="preserve">05 57 69 74 19 </v>
      </c>
      <c r="L1609" s="1">
        <v>42916</v>
      </c>
      <c r="M1609" t="str">
        <f t="shared" si="276"/>
        <v>124</v>
      </c>
      <c r="N1609" t="str">
        <f t="shared" si="277"/>
        <v>Centre de Santé</v>
      </c>
      <c r="O1609" t="str">
        <f t="shared" ref="O1609:O1615" si="278">"60"</f>
        <v>60</v>
      </c>
      <c r="P1609" t="str">
        <f t="shared" ref="P1609:P1615" si="279">"Association Loi 1901 non Reconnue d'Utilité Publique"</f>
        <v>Association Loi 1901 non Reconnue d'Utilité Publique</v>
      </c>
      <c r="Q1609" t="str">
        <f t="shared" si="274"/>
        <v>36</v>
      </c>
      <c r="R1609" t="str">
        <f t="shared" si="275"/>
        <v>Tarifs conventionnels assurance maladie</v>
      </c>
      <c r="U1609" t="str">
        <f>"330059239"</f>
        <v>330059239</v>
      </c>
    </row>
    <row r="1610" spans="1:21" x14ac:dyDescent="0.3">
      <c r="A1610" t="str">
        <f>"930027578"</f>
        <v>930027578</v>
      </c>
      <c r="D1610" t="str">
        <f>"CDS SANTEVY GAGNY"</f>
        <v>CDS SANTEVY GAGNY</v>
      </c>
      <c r="F1610" t="str">
        <f>"57 AVENUE JEAN JAURES"</f>
        <v>57 AVENUE JEAN JAURES</v>
      </c>
      <c r="H1610" t="str">
        <f>"93220"</f>
        <v>93220</v>
      </c>
      <c r="I1610" t="str">
        <f>"GAGNY"</f>
        <v>GAGNY</v>
      </c>
      <c r="J1610" t="str">
        <f>"01 41 54 01 35 "</f>
        <v xml:space="preserve">01 41 54 01 35 </v>
      </c>
      <c r="L1610" s="1">
        <v>42916</v>
      </c>
      <c r="M1610" t="str">
        <f t="shared" si="276"/>
        <v>124</v>
      </c>
      <c r="N1610" t="str">
        <f t="shared" si="277"/>
        <v>Centre de Santé</v>
      </c>
      <c r="O1610" t="str">
        <f t="shared" si="278"/>
        <v>60</v>
      </c>
      <c r="P1610" t="str">
        <f t="shared" si="279"/>
        <v>Association Loi 1901 non Reconnue d'Utilité Publique</v>
      </c>
      <c r="Q1610" t="str">
        <f t="shared" si="274"/>
        <v>36</v>
      </c>
      <c r="R1610" t="str">
        <f t="shared" si="275"/>
        <v>Tarifs conventionnels assurance maladie</v>
      </c>
      <c r="U1610" t="str">
        <f>"930027560"</f>
        <v>930027560</v>
      </c>
    </row>
    <row r="1611" spans="1:21" x14ac:dyDescent="0.3">
      <c r="A1611" t="str">
        <f>"930027602"</f>
        <v>930027602</v>
      </c>
      <c r="D1611" t="str">
        <f>"CDS DENTAIRE PARIS MONTREUIL"</f>
        <v>CDS DENTAIRE PARIS MONTREUIL</v>
      </c>
      <c r="F1611" t="str">
        <f>"72 RUE DE PARIS"</f>
        <v>72 RUE DE PARIS</v>
      </c>
      <c r="H1611" t="str">
        <f>"93100"</f>
        <v>93100</v>
      </c>
      <c r="I1611" t="str">
        <f>"MONTREUIL"</f>
        <v>MONTREUIL</v>
      </c>
      <c r="L1611" s="1">
        <v>42916</v>
      </c>
      <c r="M1611" t="str">
        <f t="shared" si="276"/>
        <v>124</v>
      </c>
      <c r="N1611" t="str">
        <f t="shared" si="277"/>
        <v>Centre de Santé</v>
      </c>
      <c r="O1611" t="str">
        <f t="shared" si="278"/>
        <v>60</v>
      </c>
      <c r="P1611" t="str">
        <f t="shared" si="279"/>
        <v>Association Loi 1901 non Reconnue d'Utilité Publique</v>
      </c>
      <c r="Q1611" t="str">
        <f t="shared" si="274"/>
        <v>36</v>
      </c>
      <c r="R1611" t="str">
        <f t="shared" si="275"/>
        <v>Tarifs conventionnels assurance maladie</v>
      </c>
      <c r="U1611" t="str">
        <f>"750060238"</f>
        <v>750060238</v>
      </c>
    </row>
    <row r="1612" spans="1:21" x14ac:dyDescent="0.3">
      <c r="A1612" t="str">
        <f>"940023559"</f>
        <v>940023559</v>
      </c>
      <c r="D1612" t="str">
        <f>"CDS DENTAIRE ET OPHTALMOLOGIQUE OKABE"</f>
        <v>CDS DENTAIRE ET OPHTALMOLOGIQUE OKABE</v>
      </c>
      <c r="E1612" t="str">
        <f>"CENTRE COMMERCIAL OKABE"</f>
        <v>CENTRE COMMERCIAL OKABE</v>
      </c>
      <c r="F1612" t="str">
        <f>"63 AVENUE FONTAINEBLEAU"</f>
        <v>63 AVENUE FONTAINEBLEAU</v>
      </c>
      <c r="H1612" t="str">
        <f>"94270"</f>
        <v>94270</v>
      </c>
      <c r="I1612" t="str">
        <f>"LE KREMLIN BICETRE"</f>
        <v>LE KREMLIN BICETRE</v>
      </c>
      <c r="L1612" s="1">
        <v>42916</v>
      </c>
      <c r="M1612" t="str">
        <f t="shared" si="276"/>
        <v>124</v>
      </c>
      <c r="N1612" t="str">
        <f t="shared" si="277"/>
        <v>Centre de Santé</v>
      </c>
      <c r="O1612" t="str">
        <f t="shared" si="278"/>
        <v>60</v>
      </c>
      <c r="P1612" t="str">
        <f t="shared" si="279"/>
        <v>Association Loi 1901 non Reconnue d'Utilité Publique</v>
      </c>
      <c r="Q1612" t="str">
        <f t="shared" si="274"/>
        <v>36</v>
      </c>
      <c r="R1612" t="str">
        <f t="shared" si="275"/>
        <v>Tarifs conventionnels assurance maladie</v>
      </c>
      <c r="U1612" t="str">
        <f>"940023542"</f>
        <v>940023542</v>
      </c>
    </row>
    <row r="1613" spans="1:21" x14ac:dyDescent="0.3">
      <c r="A1613" t="str">
        <f>"750060212"</f>
        <v>750060212</v>
      </c>
      <c r="D1613" t="str">
        <f>"CDS DENTAIRE ADS BRUNE"</f>
        <v>CDS DENTAIRE ADS BRUNE</v>
      </c>
      <c r="F1613" t="str">
        <f>"67 BOULEVARD BRUNE"</f>
        <v>67 BOULEVARD BRUNE</v>
      </c>
      <c r="H1613" t="str">
        <f>"75014"</f>
        <v>75014</v>
      </c>
      <c r="I1613" t="str">
        <f>"PARIS"</f>
        <v>PARIS</v>
      </c>
      <c r="L1613" s="1">
        <v>42912</v>
      </c>
      <c r="M1613" t="str">
        <f t="shared" si="276"/>
        <v>124</v>
      </c>
      <c r="N1613" t="str">
        <f t="shared" si="277"/>
        <v>Centre de Santé</v>
      </c>
      <c r="O1613" t="str">
        <f t="shared" si="278"/>
        <v>60</v>
      </c>
      <c r="P1613" t="str">
        <f t="shared" si="279"/>
        <v>Association Loi 1901 non Reconnue d'Utilité Publique</v>
      </c>
      <c r="Q1613" t="str">
        <f t="shared" si="274"/>
        <v>36</v>
      </c>
      <c r="R1613" t="str">
        <f t="shared" si="275"/>
        <v>Tarifs conventionnels assurance maladie</v>
      </c>
      <c r="U1613" t="str">
        <f>"750060204"</f>
        <v>750060204</v>
      </c>
    </row>
    <row r="1614" spans="1:21" x14ac:dyDescent="0.3">
      <c r="A1614" t="str">
        <f>"910022292"</f>
        <v>910022292</v>
      </c>
      <c r="B1614" t="str">
        <f>"827 874 439 00025"</f>
        <v>827 874 439 00025</v>
      </c>
      <c r="D1614" t="str">
        <f>"CDS DENTAIRE SAINT-MICHEL SUR ORGE"</f>
        <v>CDS DENTAIRE SAINT-MICHEL SUR ORGE</v>
      </c>
      <c r="F1614" t="str">
        <f>"1 PLACE YVONNE JEANNINE TRIHOREAU"</f>
        <v>1 PLACE YVONNE JEANNINE TRIHOREAU</v>
      </c>
      <c r="H1614" t="str">
        <f>"91240"</f>
        <v>91240</v>
      </c>
      <c r="I1614" t="str">
        <f>"ST MICHEL SUR ORGE"</f>
        <v>ST MICHEL SUR ORGE</v>
      </c>
      <c r="J1614" t="str">
        <f>"01 73 22 22 10 "</f>
        <v xml:space="preserve">01 73 22 22 10 </v>
      </c>
      <c r="L1614" s="1">
        <v>42912</v>
      </c>
      <c r="M1614" t="str">
        <f t="shared" si="276"/>
        <v>124</v>
      </c>
      <c r="N1614" t="str">
        <f t="shared" si="277"/>
        <v>Centre de Santé</v>
      </c>
      <c r="O1614" t="str">
        <f t="shared" si="278"/>
        <v>60</v>
      </c>
      <c r="P1614" t="str">
        <f t="shared" si="279"/>
        <v>Association Loi 1901 non Reconnue d'Utilité Publique</v>
      </c>
      <c r="Q1614" t="str">
        <f t="shared" si="274"/>
        <v>36</v>
      </c>
      <c r="R1614" t="str">
        <f t="shared" si="275"/>
        <v>Tarifs conventionnels assurance maladie</v>
      </c>
      <c r="U1614" t="str">
        <f>"910022284"</f>
        <v>910022284</v>
      </c>
    </row>
    <row r="1615" spans="1:21" x14ac:dyDescent="0.3">
      <c r="A1615" t="str">
        <f>"950043448"</f>
        <v>950043448</v>
      </c>
      <c r="D1615" t="str">
        <f>"CDS MEDICO-DENTAIRE ERMONT-EAUBONNE"</f>
        <v>CDS MEDICO-DENTAIRE ERMONT-EAUBONNE</v>
      </c>
      <c r="F1615" t="str">
        <f>"216 RUE DU GENERAL LECLERC"</f>
        <v>216 RUE DU GENERAL LECLERC</v>
      </c>
      <c r="H1615" t="str">
        <f>"95120"</f>
        <v>95120</v>
      </c>
      <c r="I1615" t="str">
        <f>"ERMONT"</f>
        <v>ERMONT</v>
      </c>
      <c r="L1615" s="1">
        <v>42912</v>
      </c>
      <c r="M1615" t="str">
        <f t="shared" si="276"/>
        <v>124</v>
      </c>
      <c r="N1615" t="str">
        <f t="shared" si="277"/>
        <v>Centre de Santé</v>
      </c>
      <c r="O1615" t="str">
        <f t="shared" si="278"/>
        <v>60</v>
      </c>
      <c r="P1615" t="str">
        <f t="shared" si="279"/>
        <v>Association Loi 1901 non Reconnue d'Utilité Publique</v>
      </c>
      <c r="Q1615" t="str">
        <f t="shared" si="274"/>
        <v>36</v>
      </c>
      <c r="R1615" t="str">
        <f t="shared" si="275"/>
        <v>Tarifs conventionnels assurance maladie</v>
      </c>
      <c r="U1615" t="str">
        <f>"750060220"</f>
        <v>750060220</v>
      </c>
    </row>
    <row r="1616" spans="1:21" x14ac:dyDescent="0.3">
      <c r="A1616" t="str">
        <f>"590059408"</f>
        <v>590059408</v>
      </c>
      <c r="B1616" t="str">
        <f>"775 685 316 01692"</f>
        <v>775 685 316 01692</v>
      </c>
      <c r="D1616" t="str">
        <f>"CSP FILIERIS MONTIGNY EN OSTREVENT"</f>
        <v>CSP FILIERIS MONTIGNY EN OSTREVENT</v>
      </c>
      <c r="F1616" t="str">
        <f>"CITE DU SANNA"</f>
        <v>CITE DU SANNA</v>
      </c>
      <c r="H1616" t="str">
        <f>"59182"</f>
        <v>59182</v>
      </c>
      <c r="I1616" t="str">
        <f>"MONTIGNY EN OSTREVENT"</f>
        <v>MONTIGNY EN OSTREVENT</v>
      </c>
      <c r="J1616" t="str">
        <f>"03 27 80 70 04 "</f>
        <v xml:space="preserve">03 27 80 70 04 </v>
      </c>
      <c r="L1616" s="1">
        <v>42906</v>
      </c>
      <c r="M1616" t="str">
        <f t="shared" si="276"/>
        <v>124</v>
      </c>
      <c r="N1616" t="str">
        <f t="shared" si="277"/>
        <v>Centre de Santé</v>
      </c>
      <c r="O1616" t="str">
        <f>"41"</f>
        <v>41</v>
      </c>
      <c r="P1616" t="str">
        <f>"Régime Spécial de Sécurité Sociale"</f>
        <v>Régime Spécial de Sécurité Sociale</v>
      </c>
      <c r="Q1616" t="str">
        <f t="shared" si="274"/>
        <v>36</v>
      </c>
      <c r="R1616" t="str">
        <f t="shared" si="275"/>
        <v>Tarifs conventionnels assurance maladie</v>
      </c>
      <c r="U1616" t="str">
        <f>"750050759"</f>
        <v>750050759</v>
      </c>
    </row>
    <row r="1617" spans="1:21" x14ac:dyDescent="0.3">
      <c r="A1617" t="str">
        <f>"590059416"</f>
        <v>590059416</v>
      </c>
      <c r="B1617" t="str">
        <f>"775 685 316 02179"</f>
        <v>775 685 316 02179</v>
      </c>
      <c r="D1617" t="str">
        <f>"CSP FILIERIS DE FENAIN"</f>
        <v>CSP FILIERIS DE FENAIN</v>
      </c>
      <c r="F1617" t="str">
        <f>"RUE DE NOS RÉSISTANTS"</f>
        <v>RUE DE NOS RÉSISTANTS</v>
      </c>
      <c r="H1617" t="str">
        <f>"59179"</f>
        <v>59179</v>
      </c>
      <c r="I1617" t="str">
        <f>"FENAIN"</f>
        <v>FENAIN</v>
      </c>
      <c r="J1617" t="str">
        <f>"03 27 90 63 96 "</f>
        <v xml:space="preserve">03 27 90 63 96 </v>
      </c>
      <c r="L1617" s="1">
        <v>42906</v>
      </c>
      <c r="M1617" t="str">
        <f t="shared" si="276"/>
        <v>124</v>
      </c>
      <c r="N1617" t="str">
        <f t="shared" si="277"/>
        <v>Centre de Santé</v>
      </c>
      <c r="O1617" t="str">
        <f>"41"</f>
        <v>41</v>
      </c>
      <c r="P1617" t="str">
        <f>"Régime Spécial de Sécurité Sociale"</f>
        <v>Régime Spécial de Sécurité Sociale</v>
      </c>
      <c r="Q1617" t="str">
        <f t="shared" si="274"/>
        <v>36</v>
      </c>
      <c r="R1617" t="str">
        <f t="shared" si="275"/>
        <v>Tarifs conventionnels assurance maladie</v>
      </c>
      <c r="U1617" t="str">
        <f>"750050759"</f>
        <v>750050759</v>
      </c>
    </row>
    <row r="1618" spans="1:21" x14ac:dyDescent="0.3">
      <c r="A1618" t="str">
        <f>"620032896"</f>
        <v>620032896</v>
      </c>
      <c r="B1618" t="str">
        <f>"775 685 316 02518"</f>
        <v>775 685 316 02518</v>
      </c>
      <c r="D1618" t="str">
        <f>"CSP FILIERIS  D' ANNAY SOUS LENS"</f>
        <v>CSP FILIERIS  D' ANNAY SOUS LENS</v>
      </c>
      <c r="F1618" t="str">
        <f>"RUE DU GÉNÉRAL DE GAULLE"</f>
        <v>RUE DU GÉNÉRAL DE GAULLE</v>
      </c>
      <c r="H1618" t="str">
        <f>"62880"</f>
        <v>62880</v>
      </c>
      <c r="I1618" t="str">
        <f>"ANNAY"</f>
        <v>ANNAY</v>
      </c>
      <c r="J1618" t="str">
        <f>"03 21 42 45 77 "</f>
        <v xml:space="preserve">03 21 42 45 77 </v>
      </c>
      <c r="L1618" s="1">
        <v>42906</v>
      </c>
      <c r="M1618" t="str">
        <f t="shared" si="276"/>
        <v>124</v>
      </c>
      <c r="N1618" t="str">
        <f t="shared" si="277"/>
        <v>Centre de Santé</v>
      </c>
      <c r="O1618" t="str">
        <f>"41"</f>
        <v>41</v>
      </c>
      <c r="P1618" t="str">
        <f>"Régime Spécial de Sécurité Sociale"</f>
        <v>Régime Spécial de Sécurité Sociale</v>
      </c>
      <c r="Q1618" t="str">
        <f t="shared" si="274"/>
        <v>36</v>
      </c>
      <c r="R1618" t="str">
        <f t="shared" si="275"/>
        <v>Tarifs conventionnels assurance maladie</v>
      </c>
      <c r="U1618" t="str">
        <f>"750050759"</f>
        <v>750050759</v>
      </c>
    </row>
    <row r="1619" spans="1:21" x14ac:dyDescent="0.3">
      <c r="A1619" t="str">
        <f>"620032904"</f>
        <v>620032904</v>
      </c>
      <c r="B1619" t="str">
        <f>"775 685 316 01478"</f>
        <v>775 685 316 01478</v>
      </c>
      <c r="D1619" t="str">
        <f>"CS POLYVALENT MARLES LES MINES"</f>
        <v>CS POLYVALENT MARLES LES MINES</v>
      </c>
      <c r="F1619" t="str">
        <f>"RUE D'AMIENS"</f>
        <v>RUE D'AMIENS</v>
      </c>
      <c r="H1619" t="str">
        <f>"62540"</f>
        <v>62540</v>
      </c>
      <c r="I1619" t="str">
        <f>"MARLES LES MINES"</f>
        <v>MARLES LES MINES</v>
      </c>
      <c r="J1619" t="str">
        <f>"03 21 62 71 70 "</f>
        <v xml:space="preserve">03 21 62 71 70 </v>
      </c>
      <c r="L1619" s="1">
        <v>42906</v>
      </c>
      <c r="M1619" t="str">
        <f t="shared" si="276"/>
        <v>124</v>
      </c>
      <c r="N1619" t="str">
        <f t="shared" si="277"/>
        <v>Centre de Santé</v>
      </c>
      <c r="O1619" t="str">
        <f>"41"</f>
        <v>41</v>
      </c>
      <c r="P1619" t="str">
        <f>"Régime Spécial de Sécurité Sociale"</f>
        <v>Régime Spécial de Sécurité Sociale</v>
      </c>
      <c r="Q1619" t="str">
        <f t="shared" si="274"/>
        <v>36</v>
      </c>
      <c r="R1619" t="str">
        <f t="shared" si="275"/>
        <v>Tarifs conventionnels assurance maladie</v>
      </c>
      <c r="U1619" t="str">
        <f>"620020859"</f>
        <v>620020859</v>
      </c>
    </row>
    <row r="1620" spans="1:21" x14ac:dyDescent="0.3">
      <c r="A1620" t="str">
        <f>"410009500"</f>
        <v>410009500</v>
      </c>
      <c r="B1620" t="str">
        <f>"831 368 287 00015"</f>
        <v>831 368 287 00015</v>
      </c>
      <c r="D1620" t="str">
        <f>"CENTRE DE SANTE CHAVY (ET)"</f>
        <v>CENTRE DE SANTE CHAVY (ET)</v>
      </c>
      <c r="F1620" t="str">
        <f>"3 RUE BOUGAINVILLE"</f>
        <v>3 RUE BOUGAINVILLE</v>
      </c>
      <c r="H1620" t="str">
        <f>"41000"</f>
        <v>41000</v>
      </c>
      <c r="I1620" t="str">
        <f>"BLOIS"</f>
        <v>BLOIS</v>
      </c>
      <c r="J1620" t="str">
        <f>"02 54 81 08 62 "</f>
        <v xml:space="preserve">02 54 81 08 62 </v>
      </c>
      <c r="L1620" s="1">
        <v>42900</v>
      </c>
      <c r="M1620" t="str">
        <f t="shared" si="276"/>
        <v>124</v>
      </c>
      <c r="N1620" t="str">
        <f t="shared" si="277"/>
        <v>Centre de Santé</v>
      </c>
      <c r="O1620" t="str">
        <f>"61"</f>
        <v>61</v>
      </c>
      <c r="P1620" t="str">
        <f>"Association Loi 1901 Reconnue d'Utilité Publique"</f>
        <v>Association Loi 1901 Reconnue d'Utilité Publique</v>
      </c>
      <c r="Q1620" t="str">
        <f>"99"</f>
        <v>99</v>
      </c>
      <c r="R1620" t="str">
        <f>"Indéterminé"</f>
        <v>Indéterminé</v>
      </c>
      <c r="U1620" t="str">
        <f>"410009492"</f>
        <v>410009492</v>
      </c>
    </row>
    <row r="1621" spans="1:21" x14ac:dyDescent="0.3">
      <c r="A1621" t="str">
        <f>"750060287"</f>
        <v>750060287</v>
      </c>
      <c r="D1621" t="str">
        <f>"CDS CTAR II"</f>
        <v>CDS CTAR II</v>
      </c>
      <c r="F1621" t="str">
        <f>"106 RUE DE CHARENTON"</f>
        <v>106 RUE DE CHARENTON</v>
      </c>
      <c r="H1621" t="str">
        <f>"75012"</f>
        <v>75012</v>
      </c>
      <c r="I1621" t="str">
        <f>"PARIS"</f>
        <v>PARIS</v>
      </c>
      <c r="J1621" t="str">
        <f>"01 44 75 42 40 "</f>
        <v xml:space="preserve">01 44 75 42 40 </v>
      </c>
      <c r="K1621" t="str">
        <f>"01 49 23 07 80"</f>
        <v>01 49 23 07 80</v>
      </c>
      <c r="L1621" s="1">
        <v>42899</v>
      </c>
      <c r="M1621" t="str">
        <f t="shared" si="276"/>
        <v>124</v>
      </c>
      <c r="N1621" t="str">
        <f t="shared" si="277"/>
        <v>Centre de Santé</v>
      </c>
      <c r="O1621" t="str">
        <f>"61"</f>
        <v>61</v>
      </c>
      <c r="P1621" t="str">
        <f>"Association Loi 1901 Reconnue d'Utilité Publique"</f>
        <v>Association Loi 1901 Reconnue d'Utilité Publique</v>
      </c>
      <c r="Q1621" t="str">
        <f t="shared" ref="Q1621:Q1652" si="280">"36"</f>
        <v>36</v>
      </c>
      <c r="R1621" t="str">
        <f t="shared" ref="R1621:R1652" si="281">"Tarifs conventionnels assurance maladie"</f>
        <v>Tarifs conventionnels assurance maladie</v>
      </c>
      <c r="U1621" t="str">
        <f>"750060279"</f>
        <v>750060279</v>
      </c>
    </row>
    <row r="1622" spans="1:21" x14ac:dyDescent="0.3">
      <c r="A1622" t="str">
        <f>"920031150"</f>
        <v>920031150</v>
      </c>
      <c r="D1622" t="str">
        <f>"CDS DENTAIRE COURBEVOIE"</f>
        <v>CDS DENTAIRE COURBEVOIE</v>
      </c>
      <c r="F1622" t="str">
        <f>"8 RUE SAINTE MARIE"</f>
        <v>8 RUE SAINTE MARIE</v>
      </c>
      <c r="H1622" t="str">
        <f>"92400"</f>
        <v>92400</v>
      </c>
      <c r="I1622" t="str">
        <f>"COURBEVOIE"</f>
        <v>COURBEVOIE</v>
      </c>
      <c r="L1622" s="1">
        <v>42899</v>
      </c>
      <c r="M1622" t="str">
        <f t="shared" si="276"/>
        <v>124</v>
      </c>
      <c r="N1622" t="str">
        <f t="shared" si="277"/>
        <v>Centre de Santé</v>
      </c>
      <c r="O1622" t="str">
        <f>"60"</f>
        <v>60</v>
      </c>
      <c r="P1622" t="str">
        <f>"Association Loi 1901 non Reconnue d'Utilité Publique"</f>
        <v>Association Loi 1901 non Reconnue d'Utilité Publique</v>
      </c>
      <c r="Q1622" t="str">
        <f t="shared" si="280"/>
        <v>36</v>
      </c>
      <c r="R1622" t="str">
        <f t="shared" si="281"/>
        <v>Tarifs conventionnels assurance maladie</v>
      </c>
      <c r="U1622" t="str">
        <f>"920031143"</f>
        <v>920031143</v>
      </c>
    </row>
    <row r="1623" spans="1:21" x14ac:dyDescent="0.3">
      <c r="A1623" t="str">
        <f>"930027479"</f>
        <v>930027479</v>
      </c>
      <c r="B1623" t="str">
        <f>"829 983 725 00013"</f>
        <v>829 983 725 00013</v>
      </c>
      <c r="D1623" t="str">
        <f>"CDS MEDICO-DENTAIRE PANTIN JOSSERAND"</f>
        <v>CDS MEDICO-DENTAIRE PANTIN JOSSERAND</v>
      </c>
      <c r="F1623" t="str">
        <f>"22 RUE GABRIELLE JOSSERAND"</f>
        <v>22 RUE GABRIELLE JOSSERAND</v>
      </c>
      <c r="H1623" t="str">
        <f>"93500"</f>
        <v>93500</v>
      </c>
      <c r="I1623" t="str">
        <f>"PANTIN"</f>
        <v>PANTIN</v>
      </c>
      <c r="J1623" t="str">
        <f>"06 87 64 88 55 "</f>
        <v xml:space="preserve">06 87 64 88 55 </v>
      </c>
      <c r="L1623" s="1">
        <v>42899</v>
      </c>
      <c r="M1623" t="str">
        <f t="shared" si="276"/>
        <v>124</v>
      </c>
      <c r="N1623" t="str">
        <f t="shared" si="277"/>
        <v>Centre de Santé</v>
      </c>
      <c r="O1623" t="str">
        <f>"60"</f>
        <v>60</v>
      </c>
      <c r="P1623" t="str">
        <f>"Association Loi 1901 non Reconnue d'Utilité Publique"</f>
        <v>Association Loi 1901 non Reconnue d'Utilité Publique</v>
      </c>
      <c r="Q1623" t="str">
        <f t="shared" si="280"/>
        <v>36</v>
      </c>
      <c r="R1623" t="str">
        <f t="shared" si="281"/>
        <v>Tarifs conventionnels assurance maladie</v>
      </c>
      <c r="U1623" t="str">
        <f>"930027461"</f>
        <v>930027461</v>
      </c>
    </row>
    <row r="1624" spans="1:21" x14ac:dyDescent="0.3">
      <c r="A1624" t="str">
        <f>"590059390"</f>
        <v>590059390</v>
      </c>
      <c r="B1624" t="str">
        <f>"850 217 365 00012"</f>
        <v>850 217 365 00012</v>
      </c>
      <c r="D1624" t="str">
        <f>"CSI SOIGNONS HUMAIN PÉVÈLE"</f>
        <v>CSI SOIGNONS HUMAIN PÉVÈLE</v>
      </c>
      <c r="F1624" t="str">
        <f>"31 RUE EMILE DANCOISNE"</f>
        <v>31 RUE EMILE DANCOISNE</v>
      </c>
      <c r="H1624" t="str">
        <f>"59310"</f>
        <v>59310</v>
      </c>
      <c r="I1624" t="str">
        <f>"AUCHY LEZ ORCHIES"</f>
        <v>AUCHY LEZ ORCHIES</v>
      </c>
      <c r="L1624" s="1">
        <v>42898</v>
      </c>
      <c r="M1624" t="str">
        <f t="shared" si="276"/>
        <v>124</v>
      </c>
      <c r="N1624" t="str">
        <f t="shared" si="277"/>
        <v>Centre de Santé</v>
      </c>
      <c r="O1624" t="str">
        <f>"61"</f>
        <v>61</v>
      </c>
      <c r="P1624" t="str">
        <f>"Association Loi 1901 Reconnue d'Utilité Publique"</f>
        <v>Association Loi 1901 Reconnue d'Utilité Publique</v>
      </c>
      <c r="Q1624" t="str">
        <f t="shared" si="280"/>
        <v>36</v>
      </c>
      <c r="R1624" t="str">
        <f t="shared" si="281"/>
        <v>Tarifs conventionnels assurance maladie</v>
      </c>
      <c r="U1624" t="str">
        <f>"590062360"</f>
        <v>590062360</v>
      </c>
    </row>
    <row r="1625" spans="1:21" x14ac:dyDescent="0.3">
      <c r="A1625" t="str">
        <f>"940023435"</f>
        <v>940023435</v>
      </c>
      <c r="D1625" t="str">
        <f>"CDS MEDICO-DENTAIRE SANTEA CHAMPIGNY"</f>
        <v>CDS MEDICO-DENTAIRE SANTEA CHAMPIGNY</v>
      </c>
      <c r="F1625" t="str">
        <f>"16 AVENUE ROGER SALENGRO"</f>
        <v>16 AVENUE ROGER SALENGRO</v>
      </c>
      <c r="H1625" t="str">
        <f>"94500"</f>
        <v>94500</v>
      </c>
      <c r="I1625" t="str">
        <f>"CHAMPIGNY SUR MARNE"</f>
        <v>CHAMPIGNY SUR MARNE</v>
      </c>
      <c r="L1625" s="1">
        <v>42895</v>
      </c>
      <c r="M1625" t="str">
        <f t="shared" si="276"/>
        <v>124</v>
      </c>
      <c r="N1625" t="str">
        <f t="shared" si="277"/>
        <v>Centre de Santé</v>
      </c>
      <c r="O1625" t="str">
        <f>"60"</f>
        <v>60</v>
      </c>
      <c r="P1625" t="str">
        <f>"Association Loi 1901 non Reconnue d'Utilité Publique"</f>
        <v>Association Loi 1901 non Reconnue d'Utilité Publique</v>
      </c>
      <c r="Q1625" t="str">
        <f t="shared" si="280"/>
        <v>36</v>
      </c>
      <c r="R1625" t="str">
        <f t="shared" si="281"/>
        <v>Tarifs conventionnels assurance maladie</v>
      </c>
      <c r="U1625" t="str">
        <f>"940023427"</f>
        <v>940023427</v>
      </c>
    </row>
    <row r="1626" spans="1:21" x14ac:dyDescent="0.3">
      <c r="A1626" t="str">
        <f>"530008697"</f>
        <v>530008697</v>
      </c>
      <c r="B1626" t="str">
        <f>"215 301 193 00011"</f>
        <v>215 301 193 00011</v>
      </c>
      <c r="D1626" t="str">
        <f>"CENTRE MUNICIPAL DE SANTE L'HUISSERIE"</f>
        <v>CENTRE MUNICIPAL DE SANTE L'HUISSERIE</v>
      </c>
      <c r="F1626" t="str">
        <f>"11 CHEMIN DES LAVOIRS"</f>
        <v>11 CHEMIN DES LAVOIRS</v>
      </c>
      <c r="H1626" t="str">
        <f>"53970"</f>
        <v>53970</v>
      </c>
      <c r="I1626" t="str">
        <f>"L HUISSERIE"</f>
        <v>L HUISSERIE</v>
      </c>
      <c r="J1626" t="str">
        <f>"02 43 91 80 60 "</f>
        <v xml:space="preserve">02 43 91 80 60 </v>
      </c>
      <c r="L1626" s="1">
        <v>42894</v>
      </c>
      <c r="M1626" t="str">
        <f t="shared" si="276"/>
        <v>124</v>
      </c>
      <c r="N1626" t="str">
        <f t="shared" si="277"/>
        <v>Centre de Santé</v>
      </c>
      <c r="O1626" t="str">
        <f>"03"</f>
        <v>03</v>
      </c>
      <c r="P1626" t="str">
        <f>"Commune"</f>
        <v>Commune</v>
      </c>
      <c r="Q1626" t="str">
        <f t="shared" si="280"/>
        <v>36</v>
      </c>
      <c r="R1626" t="str">
        <f t="shared" si="281"/>
        <v>Tarifs conventionnels assurance maladie</v>
      </c>
      <c r="U1626" t="str">
        <f>"530008689"</f>
        <v>530008689</v>
      </c>
    </row>
    <row r="1627" spans="1:21" x14ac:dyDescent="0.3">
      <c r="A1627" t="str">
        <f>"530008879"</f>
        <v>530008879</v>
      </c>
      <c r="B1627" t="str">
        <f>"775 609 621 01698"</f>
        <v>775 609 621 01698</v>
      </c>
      <c r="D1627" t="str">
        <f>"CENTRE DE SANTE - HENRI DUNANT"</f>
        <v>CENTRE DE SANTE - HENRI DUNANT</v>
      </c>
      <c r="F1627" t="str">
        <f>"47 RUE MARCEL CERDAN"</f>
        <v>47 RUE MARCEL CERDAN</v>
      </c>
      <c r="H1627" t="str">
        <f>"53000"</f>
        <v>53000</v>
      </c>
      <c r="I1627" t="str">
        <f>"LAVAL"</f>
        <v>LAVAL</v>
      </c>
      <c r="L1627" s="1">
        <v>42894</v>
      </c>
      <c r="M1627" t="str">
        <f t="shared" si="276"/>
        <v>124</v>
      </c>
      <c r="N1627" t="str">
        <f t="shared" si="277"/>
        <v>Centre de Santé</v>
      </c>
      <c r="O1627" t="str">
        <f>"47"</f>
        <v>47</v>
      </c>
      <c r="P1627" t="str">
        <f>"Société Mutualiste"</f>
        <v>Société Mutualiste</v>
      </c>
      <c r="Q1627" t="str">
        <f t="shared" si="280"/>
        <v>36</v>
      </c>
      <c r="R1627" t="str">
        <f t="shared" si="281"/>
        <v>Tarifs conventionnels assurance maladie</v>
      </c>
      <c r="U1627" t="str">
        <f>"490535168"</f>
        <v>490535168</v>
      </c>
    </row>
    <row r="1628" spans="1:21" x14ac:dyDescent="0.3">
      <c r="A1628" t="str">
        <f>"750060063"</f>
        <v>750060063</v>
      </c>
      <c r="D1628" t="str">
        <f>"CDS DENTAIRE DE LA GARE DE LYON"</f>
        <v>CDS DENTAIRE DE LA GARE DE LYON</v>
      </c>
      <c r="F1628" t="str">
        <f>"11 BOULEVARD DIDEROT"</f>
        <v>11 BOULEVARD DIDEROT</v>
      </c>
      <c r="H1628" t="str">
        <f>"75012"</f>
        <v>75012</v>
      </c>
      <c r="I1628" t="str">
        <f>"PARIS"</f>
        <v>PARIS</v>
      </c>
      <c r="L1628" s="1">
        <v>42893</v>
      </c>
      <c r="M1628" t="str">
        <f t="shared" si="276"/>
        <v>124</v>
      </c>
      <c r="N1628" t="str">
        <f t="shared" si="277"/>
        <v>Centre de Santé</v>
      </c>
      <c r="O1628" t="str">
        <f>"60"</f>
        <v>60</v>
      </c>
      <c r="P1628" t="str">
        <f>"Association Loi 1901 non Reconnue d'Utilité Publique"</f>
        <v>Association Loi 1901 non Reconnue d'Utilité Publique</v>
      </c>
      <c r="Q1628" t="str">
        <f t="shared" si="280"/>
        <v>36</v>
      </c>
      <c r="R1628" t="str">
        <f t="shared" si="281"/>
        <v>Tarifs conventionnels assurance maladie</v>
      </c>
      <c r="U1628" t="str">
        <f>"750060055"</f>
        <v>750060055</v>
      </c>
    </row>
    <row r="1629" spans="1:21" x14ac:dyDescent="0.3">
      <c r="A1629" t="str">
        <f>"130046147"</f>
        <v>130046147</v>
      </c>
      <c r="B1629" t="str">
        <f>"823 803 952 00014"</f>
        <v>823 803 952 00014</v>
      </c>
      <c r="D1629" t="str">
        <f>"CDS CLINADENT BOULEVARD NATIONAL"</f>
        <v>CDS CLINADENT BOULEVARD NATIONAL</v>
      </c>
      <c r="F1629" t="str">
        <f>"149 BOULEVARD NATIONAL"</f>
        <v>149 BOULEVARD NATIONAL</v>
      </c>
      <c r="H1629" t="str">
        <f>"13003"</f>
        <v>13003</v>
      </c>
      <c r="I1629" t="str">
        <f>"MARSEILLE"</f>
        <v>MARSEILLE</v>
      </c>
      <c r="J1629" t="str">
        <f>"04 91 38 89 89 "</f>
        <v xml:space="preserve">04 91 38 89 89 </v>
      </c>
      <c r="K1629" t="str">
        <f>"04 91 38 89 90"</f>
        <v>04 91 38 89 90</v>
      </c>
      <c r="L1629" s="1">
        <v>42887</v>
      </c>
      <c r="M1629" t="str">
        <f t="shared" si="276"/>
        <v>124</v>
      </c>
      <c r="N1629" t="str">
        <f t="shared" si="277"/>
        <v>Centre de Santé</v>
      </c>
      <c r="O1629" t="str">
        <f>"61"</f>
        <v>61</v>
      </c>
      <c r="P1629" t="str">
        <f>"Association Loi 1901 Reconnue d'Utilité Publique"</f>
        <v>Association Loi 1901 Reconnue d'Utilité Publique</v>
      </c>
      <c r="Q1629" t="str">
        <f t="shared" si="280"/>
        <v>36</v>
      </c>
      <c r="R1629" t="str">
        <f t="shared" si="281"/>
        <v>Tarifs conventionnels assurance maladie</v>
      </c>
      <c r="U1629" t="str">
        <f>"130046139"</f>
        <v>130046139</v>
      </c>
    </row>
    <row r="1630" spans="1:21" x14ac:dyDescent="0.3">
      <c r="A1630" t="str">
        <f>"450020672"</f>
        <v>450020672</v>
      </c>
      <c r="B1630" t="str">
        <f>"214 500 688 00145"</f>
        <v>214 500 688 00145</v>
      </c>
      <c r="D1630" t="str">
        <f>"CTRE SANTE MNCPL DE CHALETTE SUR LOING"</f>
        <v>CTRE SANTE MNCPL DE CHALETTE SUR LOING</v>
      </c>
      <c r="F1630" t="str">
        <f>"2 RUE MARCEAU"</f>
        <v>2 RUE MARCEAU</v>
      </c>
      <c r="H1630" t="str">
        <f>"45120"</f>
        <v>45120</v>
      </c>
      <c r="I1630" t="str">
        <f>"CHALETTE SUR LOING"</f>
        <v>CHALETTE SUR LOING</v>
      </c>
      <c r="L1630" s="1">
        <v>42887</v>
      </c>
      <c r="M1630" t="str">
        <f t="shared" si="276"/>
        <v>124</v>
      </c>
      <c r="N1630" t="str">
        <f t="shared" si="277"/>
        <v>Centre de Santé</v>
      </c>
      <c r="O1630" t="str">
        <f>"03"</f>
        <v>03</v>
      </c>
      <c r="P1630" t="str">
        <f>"Commune"</f>
        <v>Commune</v>
      </c>
      <c r="Q1630" t="str">
        <f t="shared" si="280"/>
        <v>36</v>
      </c>
      <c r="R1630" t="str">
        <f t="shared" si="281"/>
        <v>Tarifs conventionnels assurance maladie</v>
      </c>
      <c r="U1630" t="str">
        <f>"450011069"</f>
        <v>450011069</v>
      </c>
    </row>
    <row r="1631" spans="1:21" x14ac:dyDescent="0.3">
      <c r="A1631" t="str">
        <f>"750060022"</f>
        <v>750060022</v>
      </c>
      <c r="D1631" t="str">
        <f>"CDS ORTHODONTIE PARIS VICTOR HUGO"</f>
        <v>CDS ORTHODONTIE PARIS VICTOR HUGO</v>
      </c>
      <c r="F1631" t="str">
        <f>"7 AVENUE BUGEAUD"</f>
        <v>7 AVENUE BUGEAUD</v>
      </c>
      <c r="H1631" t="str">
        <f>"75116"</f>
        <v>75116</v>
      </c>
      <c r="I1631" t="str">
        <f>"PARIS"</f>
        <v>PARIS</v>
      </c>
      <c r="J1631" t="str">
        <f>"01 76 44 03 63 "</f>
        <v xml:space="preserve">01 76 44 03 63 </v>
      </c>
      <c r="L1631" s="1">
        <v>42885</v>
      </c>
      <c r="M1631" t="str">
        <f t="shared" si="276"/>
        <v>124</v>
      </c>
      <c r="N1631" t="str">
        <f t="shared" si="277"/>
        <v>Centre de Santé</v>
      </c>
      <c r="O1631" t="str">
        <f>"60"</f>
        <v>60</v>
      </c>
      <c r="P1631" t="str">
        <f>"Association Loi 1901 non Reconnue d'Utilité Publique"</f>
        <v>Association Loi 1901 non Reconnue d'Utilité Publique</v>
      </c>
      <c r="Q1631" t="str">
        <f t="shared" si="280"/>
        <v>36</v>
      </c>
      <c r="R1631" t="str">
        <f t="shared" si="281"/>
        <v>Tarifs conventionnels assurance maladie</v>
      </c>
      <c r="U1631" t="str">
        <f>"750060014"</f>
        <v>750060014</v>
      </c>
    </row>
    <row r="1632" spans="1:21" x14ac:dyDescent="0.3">
      <c r="A1632" t="str">
        <f>"750060048"</f>
        <v>750060048</v>
      </c>
      <c r="B1632" t="str">
        <f>"827 723 230 00021"</f>
        <v>827 723 230 00021</v>
      </c>
      <c r="D1632" t="str">
        <f>"CDS DENTAIRE PARIS VICTOR HUGO"</f>
        <v>CDS DENTAIRE PARIS VICTOR HUGO</v>
      </c>
      <c r="F1632" t="str">
        <f>"3 PLACE VICTOR HUGO"</f>
        <v>3 PLACE VICTOR HUGO</v>
      </c>
      <c r="H1632" t="str">
        <f>"75116"</f>
        <v>75116</v>
      </c>
      <c r="I1632" t="str">
        <f>"PARIS"</f>
        <v>PARIS</v>
      </c>
      <c r="J1632" t="str">
        <f>"01 76 44 02 64 "</f>
        <v xml:space="preserve">01 76 44 02 64 </v>
      </c>
      <c r="L1632" s="1">
        <v>42885</v>
      </c>
      <c r="M1632" t="str">
        <f t="shared" si="276"/>
        <v>124</v>
      </c>
      <c r="N1632" t="str">
        <f t="shared" si="277"/>
        <v>Centre de Santé</v>
      </c>
      <c r="O1632" t="str">
        <f>"60"</f>
        <v>60</v>
      </c>
      <c r="P1632" t="str">
        <f>"Association Loi 1901 non Reconnue d'Utilité Publique"</f>
        <v>Association Loi 1901 non Reconnue d'Utilité Publique</v>
      </c>
      <c r="Q1632" t="str">
        <f t="shared" si="280"/>
        <v>36</v>
      </c>
      <c r="R1632" t="str">
        <f t="shared" si="281"/>
        <v>Tarifs conventionnels assurance maladie</v>
      </c>
      <c r="U1632" t="str">
        <f>"750060030"</f>
        <v>750060030</v>
      </c>
    </row>
    <row r="1633" spans="1:21" x14ac:dyDescent="0.3">
      <c r="A1633" t="str">
        <f>"920030988"</f>
        <v>920030988</v>
      </c>
      <c r="D1633" t="str">
        <f>"CDS ORTHODONTIE BECON COURBEVOIE"</f>
        <v>CDS ORTHODONTIE BECON COURBEVOIE</v>
      </c>
      <c r="F1633" t="str">
        <f>"57 RUE ARMAND SILVESTRE"</f>
        <v>57 RUE ARMAND SILVESTRE</v>
      </c>
      <c r="H1633" t="str">
        <f>"92400"</f>
        <v>92400</v>
      </c>
      <c r="I1633" t="str">
        <f>"COURBEVOIE"</f>
        <v>COURBEVOIE</v>
      </c>
      <c r="J1633" t="str">
        <f>"01 76 41 02 00 "</f>
        <v xml:space="preserve">01 76 41 02 00 </v>
      </c>
      <c r="L1633" s="1">
        <v>42879</v>
      </c>
      <c r="M1633" t="str">
        <f t="shared" si="276"/>
        <v>124</v>
      </c>
      <c r="N1633" t="str">
        <f t="shared" si="277"/>
        <v>Centre de Santé</v>
      </c>
      <c r="O1633" t="str">
        <f>"60"</f>
        <v>60</v>
      </c>
      <c r="P1633" t="str">
        <f>"Association Loi 1901 non Reconnue d'Utilité Publique"</f>
        <v>Association Loi 1901 non Reconnue d'Utilité Publique</v>
      </c>
      <c r="Q1633" t="str">
        <f t="shared" si="280"/>
        <v>36</v>
      </c>
      <c r="R1633" t="str">
        <f t="shared" si="281"/>
        <v>Tarifs conventionnels assurance maladie</v>
      </c>
      <c r="U1633" t="str">
        <f>"920030970"</f>
        <v>920030970</v>
      </c>
    </row>
    <row r="1634" spans="1:21" x14ac:dyDescent="0.3">
      <c r="A1634" t="str">
        <f>"920031002"</f>
        <v>920031002</v>
      </c>
      <c r="B1634" t="str">
        <f>"822 928 842 00019"</f>
        <v>822 928 842 00019</v>
      </c>
      <c r="D1634" t="str">
        <f>"CDS DENTAIRE BECON COURBEVOIE"</f>
        <v>CDS DENTAIRE BECON COURBEVOIE</v>
      </c>
      <c r="F1634" t="str">
        <f>"57 RUE ARMAND SYLVESTRE"</f>
        <v>57 RUE ARMAND SYLVESTRE</v>
      </c>
      <c r="H1634" t="str">
        <f>"92400"</f>
        <v>92400</v>
      </c>
      <c r="I1634" t="str">
        <f>"COURBEVOIE"</f>
        <v>COURBEVOIE</v>
      </c>
      <c r="J1634" t="str">
        <f>"01 43 34 97 49 "</f>
        <v xml:space="preserve">01 43 34 97 49 </v>
      </c>
      <c r="L1634" s="1">
        <v>42879</v>
      </c>
      <c r="M1634" t="str">
        <f t="shared" si="276"/>
        <v>124</v>
      </c>
      <c r="N1634" t="str">
        <f t="shared" si="277"/>
        <v>Centre de Santé</v>
      </c>
      <c r="O1634" t="str">
        <f>"61"</f>
        <v>61</v>
      </c>
      <c r="P1634" t="str">
        <f>"Association Loi 1901 Reconnue d'Utilité Publique"</f>
        <v>Association Loi 1901 Reconnue d'Utilité Publique</v>
      </c>
      <c r="Q1634" t="str">
        <f t="shared" si="280"/>
        <v>36</v>
      </c>
      <c r="R1634" t="str">
        <f t="shared" si="281"/>
        <v>Tarifs conventionnels assurance maladie</v>
      </c>
      <c r="U1634" t="str">
        <f>"920030996"</f>
        <v>920030996</v>
      </c>
    </row>
    <row r="1635" spans="1:21" x14ac:dyDescent="0.3">
      <c r="A1635" t="str">
        <f>"930027438"</f>
        <v>930027438</v>
      </c>
      <c r="D1635" t="str">
        <f>"CDS MEDICO-DENTAIRE DU PRE ST GERVAIS"</f>
        <v>CDS MEDICO-DENTAIRE DU PRE ST GERVAIS</v>
      </c>
      <c r="F1635" t="str">
        <f>"29 RUE D'ESTIENNE D'ORVES"</f>
        <v>29 RUE D'ESTIENNE D'ORVES</v>
      </c>
      <c r="H1635" t="str">
        <f>"93310"</f>
        <v>93310</v>
      </c>
      <c r="I1635" t="str">
        <f>"LE PRE ST GERVAIS"</f>
        <v>LE PRE ST GERVAIS</v>
      </c>
      <c r="L1635" s="1">
        <v>42877</v>
      </c>
      <c r="M1635" t="str">
        <f t="shared" si="276"/>
        <v>124</v>
      </c>
      <c r="N1635" t="str">
        <f t="shared" si="277"/>
        <v>Centre de Santé</v>
      </c>
      <c r="O1635" t="str">
        <f>"60"</f>
        <v>60</v>
      </c>
      <c r="P1635" t="str">
        <f>"Association Loi 1901 non Reconnue d'Utilité Publique"</f>
        <v>Association Loi 1901 non Reconnue d'Utilité Publique</v>
      </c>
      <c r="Q1635" t="str">
        <f t="shared" si="280"/>
        <v>36</v>
      </c>
      <c r="R1635" t="str">
        <f t="shared" si="281"/>
        <v>Tarifs conventionnels assurance maladie</v>
      </c>
      <c r="U1635" t="str">
        <f>"750059974"</f>
        <v>750059974</v>
      </c>
    </row>
    <row r="1636" spans="1:21" x14ac:dyDescent="0.3">
      <c r="A1636" t="str">
        <f>"850026642"</f>
        <v>850026642</v>
      </c>
      <c r="B1636" t="str">
        <f>"844 881 417 00811"</f>
        <v>844 881 417 00811</v>
      </c>
      <c r="D1636" t="str">
        <f>"CENTRE DENTAIRE MUTUALISTE HERBIERS"</f>
        <v>CENTRE DENTAIRE MUTUALISTE HERBIERS</v>
      </c>
      <c r="F1636" t="str">
        <f>"15 PLACE DES DROITS DE L'HOMME"</f>
        <v>15 PLACE DES DROITS DE L'HOMME</v>
      </c>
      <c r="H1636" t="str">
        <f>"85500"</f>
        <v>85500</v>
      </c>
      <c r="I1636" t="str">
        <f>"LES HERBIERS"</f>
        <v>LES HERBIERS</v>
      </c>
      <c r="J1636" t="str">
        <f>"02 51 44 19 00 "</f>
        <v xml:space="preserve">02 51 44 19 00 </v>
      </c>
      <c r="K1636" t="str">
        <f>"02 51 44 19 06"</f>
        <v>02 51 44 19 06</v>
      </c>
      <c r="L1636" s="1">
        <v>42874</v>
      </c>
      <c r="M1636" t="str">
        <f t="shared" si="276"/>
        <v>124</v>
      </c>
      <c r="N1636" t="str">
        <f t="shared" si="277"/>
        <v>Centre de Santé</v>
      </c>
      <c r="O1636" t="str">
        <f>"47"</f>
        <v>47</v>
      </c>
      <c r="P1636" t="str">
        <f>"Société Mutualiste"</f>
        <v>Société Mutualiste</v>
      </c>
      <c r="Q1636" t="str">
        <f t="shared" si="280"/>
        <v>36</v>
      </c>
      <c r="R1636" t="str">
        <f t="shared" si="281"/>
        <v>Tarifs conventionnels assurance maladie</v>
      </c>
      <c r="U1636" t="str">
        <f>"850028085"</f>
        <v>850028085</v>
      </c>
    </row>
    <row r="1637" spans="1:21" x14ac:dyDescent="0.3">
      <c r="A1637" t="str">
        <f>"710015462"</f>
        <v>710015462</v>
      </c>
      <c r="B1637" t="str">
        <f>"778 564 369 00024"</f>
        <v>778 564 369 00024</v>
      </c>
      <c r="D1637" t="str">
        <f>"CENTRE DE SANTE DENTAIRE MUTUALISTE"</f>
        <v>CENTRE DE SANTE DENTAIRE MUTUALISTE</v>
      </c>
      <c r="F1637" t="str">
        <f>"PLACE BEAUBERNARD"</f>
        <v>PLACE BEAUBERNARD</v>
      </c>
      <c r="H1637" t="str">
        <f>"71300"</f>
        <v>71300</v>
      </c>
      <c r="I1637" t="str">
        <f>"MONTCEAU LES MINES"</f>
        <v>MONTCEAU LES MINES</v>
      </c>
      <c r="J1637" t="str">
        <f>"03 85 57 78 36 "</f>
        <v xml:space="preserve">03 85 57 78 36 </v>
      </c>
      <c r="L1637" s="1">
        <v>42873</v>
      </c>
      <c r="M1637" t="str">
        <f t="shared" si="276"/>
        <v>124</v>
      </c>
      <c r="N1637" t="str">
        <f t="shared" si="277"/>
        <v>Centre de Santé</v>
      </c>
      <c r="O1637" t="str">
        <f>"47"</f>
        <v>47</v>
      </c>
      <c r="P1637" t="str">
        <f>"Société Mutualiste"</f>
        <v>Société Mutualiste</v>
      </c>
      <c r="Q1637" t="str">
        <f t="shared" si="280"/>
        <v>36</v>
      </c>
      <c r="R1637" t="str">
        <f t="shared" si="281"/>
        <v>Tarifs conventionnels assurance maladie</v>
      </c>
      <c r="U1637" t="str">
        <f>"710784109"</f>
        <v>710784109</v>
      </c>
    </row>
    <row r="1638" spans="1:21" x14ac:dyDescent="0.3">
      <c r="A1638" t="str">
        <f>"570027656"</f>
        <v>570027656</v>
      </c>
      <c r="B1638" t="str">
        <f>"827 755 489 00016"</f>
        <v>827 755 489 00016</v>
      </c>
      <c r="D1638" t="str">
        <f>"CENTRE DENTAIRE LA FELTIERE"</f>
        <v>CENTRE DENTAIRE LA FELTIERE</v>
      </c>
      <c r="F1638" t="str">
        <f>"13 AVENUE FRANCOIS MITTERAND"</f>
        <v>13 AVENUE FRANCOIS MITTERAND</v>
      </c>
      <c r="H1638" t="str">
        <f>"57290"</f>
        <v>57290</v>
      </c>
      <c r="I1638" t="str">
        <f>"FAMECK"</f>
        <v>FAMECK</v>
      </c>
      <c r="J1638" t="str">
        <f>"03 82 87 55 55 "</f>
        <v xml:space="preserve">03 82 87 55 55 </v>
      </c>
      <c r="K1638" t="str">
        <f>"03 82 87 77 89"</f>
        <v>03 82 87 77 89</v>
      </c>
      <c r="L1638" s="1">
        <v>42871</v>
      </c>
      <c r="M1638" t="str">
        <f t="shared" si="276"/>
        <v>124</v>
      </c>
      <c r="N1638" t="str">
        <f t="shared" si="277"/>
        <v>Centre de Santé</v>
      </c>
      <c r="O1638" t="str">
        <f t="shared" ref="O1638:O1647" si="282">"60"</f>
        <v>60</v>
      </c>
      <c r="P1638" t="str">
        <f t="shared" ref="P1638:P1647" si="283">"Association Loi 1901 non Reconnue d'Utilité Publique"</f>
        <v>Association Loi 1901 non Reconnue d'Utilité Publique</v>
      </c>
      <c r="Q1638" t="str">
        <f t="shared" si="280"/>
        <v>36</v>
      </c>
      <c r="R1638" t="str">
        <f t="shared" si="281"/>
        <v>Tarifs conventionnels assurance maladie</v>
      </c>
      <c r="U1638" t="str">
        <f>"570027649"</f>
        <v>570027649</v>
      </c>
    </row>
    <row r="1639" spans="1:21" x14ac:dyDescent="0.3">
      <c r="A1639" t="str">
        <f>"890009376"</f>
        <v>890009376</v>
      </c>
      <c r="B1639" t="str">
        <f>"821 088 861 00017"</f>
        <v>821 088 861 00017</v>
      </c>
      <c r="D1639" t="str">
        <f>"CENTRE MEDICO DENTAIRE DE SENS"</f>
        <v>CENTRE MEDICO DENTAIRE DE SENS</v>
      </c>
      <c r="F1639" t="str">
        <f>"41 RUE DU 19 MARS 1962"</f>
        <v>41 RUE DU 19 MARS 1962</v>
      </c>
      <c r="H1639" t="str">
        <f>"89100"</f>
        <v>89100</v>
      </c>
      <c r="I1639" t="str">
        <f>"SENS"</f>
        <v>SENS</v>
      </c>
      <c r="K1639" t="str">
        <f>"01 69 53 00 07"</f>
        <v>01 69 53 00 07</v>
      </c>
      <c r="L1639" s="1">
        <v>42864</v>
      </c>
      <c r="M1639" t="str">
        <f t="shared" si="276"/>
        <v>124</v>
      </c>
      <c r="N1639" t="str">
        <f t="shared" si="277"/>
        <v>Centre de Santé</v>
      </c>
      <c r="O1639" t="str">
        <f t="shared" si="282"/>
        <v>60</v>
      </c>
      <c r="P1639" t="str">
        <f t="shared" si="283"/>
        <v>Association Loi 1901 non Reconnue d'Utilité Publique</v>
      </c>
      <c r="Q1639" t="str">
        <f t="shared" si="280"/>
        <v>36</v>
      </c>
      <c r="R1639" t="str">
        <f t="shared" si="281"/>
        <v>Tarifs conventionnels assurance maladie</v>
      </c>
      <c r="U1639" t="str">
        <f>"890009368"</f>
        <v>890009368</v>
      </c>
    </row>
    <row r="1640" spans="1:21" x14ac:dyDescent="0.3">
      <c r="A1640" t="str">
        <f>"750059933"</f>
        <v>750059933</v>
      </c>
      <c r="B1640" t="str">
        <f>"750 948 093 00026"</f>
        <v>750 948 093 00026</v>
      </c>
      <c r="D1640" t="str">
        <f>"CDS DENTAIRE DU CHATEAU - RIVOLI"</f>
        <v>CDS DENTAIRE DU CHATEAU - RIVOLI</v>
      </c>
      <c r="F1640" t="str">
        <f>"116 RUE RIVOLI"</f>
        <v>116 RUE RIVOLI</v>
      </c>
      <c r="H1640" t="str">
        <f>"75001"</f>
        <v>75001</v>
      </c>
      <c r="I1640" t="str">
        <f>"PARIS"</f>
        <v>PARIS</v>
      </c>
      <c r="L1640" s="1">
        <v>42859</v>
      </c>
      <c r="M1640" t="str">
        <f t="shared" si="276"/>
        <v>124</v>
      </c>
      <c r="N1640" t="str">
        <f t="shared" si="277"/>
        <v>Centre de Santé</v>
      </c>
      <c r="O1640" t="str">
        <f t="shared" si="282"/>
        <v>60</v>
      </c>
      <c r="P1640" t="str">
        <f t="shared" si="283"/>
        <v>Association Loi 1901 non Reconnue d'Utilité Publique</v>
      </c>
      <c r="Q1640" t="str">
        <f t="shared" si="280"/>
        <v>36</v>
      </c>
      <c r="R1640" t="str">
        <f t="shared" si="281"/>
        <v>Tarifs conventionnels assurance maladie</v>
      </c>
      <c r="U1640" t="str">
        <f>"750051203"</f>
        <v>750051203</v>
      </c>
    </row>
    <row r="1641" spans="1:21" x14ac:dyDescent="0.3">
      <c r="A1641" t="str">
        <f>"750059941"</f>
        <v>750059941</v>
      </c>
      <c r="B1641" t="str">
        <f>"750 948 093 00034"</f>
        <v>750 948 093 00034</v>
      </c>
      <c r="D1641" t="str">
        <f>"CDS DENTAIRE DU CHATEAU - CDC 34"</f>
        <v>CDS DENTAIRE DU CHATEAU - CDC 34</v>
      </c>
      <c r="F1641" t="str">
        <f>"34 BOULEVARD DE STRASBOURG"</f>
        <v>34 BOULEVARD DE STRASBOURG</v>
      </c>
      <c r="H1641" t="str">
        <f>"75010"</f>
        <v>75010</v>
      </c>
      <c r="I1641" t="str">
        <f>"PARIS"</f>
        <v>PARIS</v>
      </c>
      <c r="L1641" s="1">
        <v>42859</v>
      </c>
      <c r="M1641" t="str">
        <f t="shared" si="276"/>
        <v>124</v>
      </c>
      <c r="N1641" t="str">
        <f t="shared" si="277"/>
        <v>Centre de Santé</v>
      </c>
      <c r="O1641" t="str">
        <f t="shared" si="282"/>
        <v>60</v>
      </c>
      <c r="P1641" t="str">
        <f t="shared" si="283"/>
        <v>Association Loi 1901 non Reconnue d'Utilité Publique</v>
      </c>
      <c r="Q1641" t="str">
        <f t="shared" si="280"/>
        <v>36</v>
      </c>
      <c r="R1641" t="str">
        <f t="shared" si="281"/>
        <v>Tarifs conventionnels assurance maladie</v>
      </c>
      <c r="U1641" t="str">
        <f>"750051203"</f>
        <v>750051203</v>
      </c>
    </row>
    <row r="1642" spans="1:21" x14ac:dyDescent="0.3">
      <c r="A1642" t="str">
        <f>"920030830"</f>
        <v>920030830</v>
      </c>
      <c r="B1642" t="str">
        <f>"829 126 606 00013"</f>
        <v>829 126 606 00013</v>
      </c>
      <c r="D1642" t="str">
        <f>"CDS DES CHAMPS PHILIPPE"</f>
        <v>CDS DES CHAMPS PHILIPPE</v>
      </c>
      <c r="F1642" t="str">
        <f>"35 AVENUE DE VERDUN 1916"</f>
        <v>35 AVENUE DE VERDUN 1916</v>
      </c>
      <c r="H1642" t="str">
        <f>"92250"</f>
        <v>92250</v>
      </c>
      <c r="I1642" t="str">
        <f>"LA GARENNE COLOMBES"</f>
        <v>LA GARENNE COLOMBES</v>
      </c>
      <c r="J1642" t="str">
        <f>"01 47 85 82 82 "</f>
        <v xml:space="preserve">01 47 85 82 82 </v>
      </c>
      <c r="K1642" t="str">
        <f>"01 47 85 96 40"</f>
        <v>01 47 85 96 40</v>
      </c>
      <c r="L1642" s="1">
        <v>42851</v>
      </c>
      <c r="M1642" t="str">
        <f t="shared" si="276"/>
        <v>124</v>
      </c>
      <c r="N1642" t="str">
        <f t="shared" si="277"/>
        <v>Centre de Santé</v>
      </c>
      <c r="O1642" t="str">
        <f t="shared" si="282"/>
        <v>60</v>
      </c>
      <c r="P1642" t="str">
        <f t="shared" si="283"/>
        <v>Association Loi 1901 non Reconnue d'Utilité Publique</v>
      </c>
      <c r="Q1642" t="str">
        <f t="shared" si="280"/>
        <v>36</v>
      </c>
      <c r="R1642" t="str">
        <f t="shared" si="281"/>
        <v>Tarifs conventionnels assurance maladie</v>
      </c>
      <c r="U1642" t="str">
        <f>"920030822"</f>
        <v>920030822</v>
      </c>
    </row>
    <row r="1643" spans="1:21" x14ac:dyDescent="0.3">
      <c r="A1643" t="str">
        <f>"920030954"</f>
        <v>920030954</v>
      </c>
      <c r="D1643" t="str">
        <f>"CDS MEDICO DENTAIRE GENNEVILLIERS"</f>
        <v>CDS MEDICO DENTAIRE GENNEVILLIERS</v>
      </c>
      <c r="F1643" t="str">
        <f>"3 PLACE PRESIDENT SALVADOR ALLENDE"</f>
        <v>3 PLACE PRESIDENT SALVADOR ALLENDE</v>
      </c>
      <c r="H1643" t="str">
        <f>"92230"</f>
        <v>92230</v>
      </c>
      <c r="I1643" t="str">
        <f>"GENNEVILLIERS"</f>
        <v>GENNEVILLIERS</v>
      </c>
      <c r="L1643" s="1">
        <v>42851</v>
      </c>
      <c r="M1643" t="str">
        <f t="shared" si="276"/>
        <v>124</v>
      </c>
      <c r="N1643" t="str">
        <f t="shared" si="277"/>
        <v>Centre de Santé</v>
      </c>
      <c r="O1643" t="str">
        <f t="shared" si="282"/>
        <v>60</v>
      </c>
      <c r="P1643" t="str">
        <f t="shared" si="283"/>
        <v>Association Loi 1901 non Reconnue d'Utilité Publique</v>
      </c>
      <c r="Q1643" t="str">
        <f t="shared" si="280"/>
        <v>36</v>
      </c>
      <c r="R1643" t="str">
        <f t="shared" si="281"/>
        <v>Tarifs conventionnels assurance maladie</v>
      </c>
      <c r="U1643" t="str">
        <f>"920030947"</f>
        <v>920030947</v>
      </c>
    </row>
    <row r="1644" spans="1:21" x14ac:dyDescent="0.3">
      <c r="A1644" t="str">
        <f>"940023377"</f>
        <v>940023377</v>
      </c>
      <c r="B1644" t="str">
        <f>"814 595 633 00011"</f>
        <v>814 595 633 00011</v>
      </c>
      <c r="D1644" t="str">
        <f>"CDS DENTAIRE VILLIERS SUR MARNE"</f>
        <v>CDS DENTAIRE VILLIERS SUR MARNE</v>
      </c>
      <c r="F1644" t="str">
        <f>"12 PLACE DE LA GARE"</f>
        <v>12 PLACE DE LA GARE</v>
      </c>
      <c r="H1644" t="str">
        <f>"94350"</f>
        <v>94350</v>
      </c>
      <c r="I1644" t="str">
        <f>"VILLIERS SUR MARNE"</f>
        <v>VILLIERS SUR MARNE</v>
      </c>
      <c r="L1644" s="1">
        <v>42851</v>
      </c>
      <c r="M1644" t="str">
        <f t="shared" si="276"/>
        <v>124</v>
      </c>
      <c r="N1644" t="str">
        <f t="shared" si="277"/>
        <v>Centre de Santé</v>
      </c>
      <c r="O1644" t="str">
        <f t="shared" si="282"/>
        <v>60</v>
      </c>
      <c r="P1644" t="str">
        <f t="shared" si="283"/>
        <v>Association Loi 1901 non Reconnue d'Utilité Publique</v>
      </c>
      <c r="Q1644" t="str">
        <f t="shared" si="280"/>
        <v>36</v>
      </c>
      <c r="R1644" t="str">
        <f t="shared" si="281"/>
        <v>Tarifs conventionnels assurance maladie</v>
      </c>
      <c r="U1644" t="str">
        <f>"930026232"</f>
        <v>930026232</v>
      </c>
    </row>
    <row r="1645" spans="1:21" x14ac:dyDescent="0.3">
      <c r="A1645" t="str">
        <f>"910022219"</f>
        <v>910022219</v>
      </c>
      <c r="B1645" t="str">
        <f>"828 593 939 00014"</f>
        <v>828 593 939 00014</v>
      </c>
      <c r="D1645" t="str">
        <f>"CDS MEDICO-DENTAIRE BLAISE PASCAL"</f>
        <v>CDS MEDICO-DENTAIRE BLAISE PASCAL</v>
      </c>
      <c r="F1645" t="str">
        <f>"42 COUR BLAISE PASCAL"</f>
        <v>42 COUR BLAISE PASCAL</v>
      </c>
      <c r="H1645" t="str">
        <f>"91000"</f>
        <v>91000</v>
      </c>
      <c r="I1645" t="str">
        <f>"EVRY COURCOURONNES"</f>
        <v>EVRY COURCOURONNES</v>
      </c>
      <c r="L1645" s="1">
        <v>42849</v>
      </c>
      <c r="M1645" t="str">
        <f t="shared" si="276"/>
        <v>124</v>
      </c>
      <c r="N1645" t="str">
        <f t="shared" si="277"/>
        <v>Centre de Santé</v>
      </c>
      <c r="O1645" t="str">
        <f t="shared" si="282"/>
        <v>60</v>
      </c>
      <c r="P1645" t="str">
        <f t="shared" si="283"/>
        <v>Association Loi 1901 non Reconnue d'Utilité Publique</v>
      </c>
      <c r="Q1645" t="str">
        <f t="shared" si="280"/>
        <v>36</v>
      </c>
      <c r="R1645" t="str">
        <f t="shared" si="281"/>
        <v>Tarifs conventionnels assurance maladie</v>
      </c>
      <c r="U1645" t="str">
        <f>"910022201"</f>
        <v>910022201</v>
      </c>
    </row>
    <row r="1646" spans="1:21" x14ac:dyDescent="0.3">
      <c r="A1646" t="str">
        <f>"930027412"</f>
        <v>930027412</v>
      </c>
      <c r="D1646" t="str">
        <f>"CDS DENTAIRE LE BOURGET"</f>
        <v>CDS DENTAIRE LE BOURGET</v>
      </c>
      <c r="F1646" t="str">
        <f>"54 AVENUE DE LA DIVISION LECLERC"</f>
        <v>54 AVENUE DE LA DIVISION LECLERC</v>
      </c>
      <c r="H1646" t="str">
        <f>"93350"</f>
        <v>93350</v>
      </c>
      <c r="I1646" t="str">
        <f>"LE BOURGET"</f>
        <v>LE BOURGET</v>
      </c>
      <c r="L1646" s="1">
        <v>42844</v>
      </c>
      <c r="M1646" t="str">
        <f t="shared" si="276"/>
        <v>124</v>
      </c>
      <c r="N1646" t="str">
        <f t="shared" si="277"/>
        <v>Centre de Santé</v>
      </c>
      <c r="O1646" t="str">
        <f t="shared" si="282"/>
        <v>60</v>
      </c>
      <c r="P1646" t="str">
        <f t="shared" si="283"/>
        <v>Association Loi 1901 non Reconnue d'Utilité Publique</v>
      </c>
      <c r="Q1646" t="str">
        <f t="shared" si="280"/>
        <v>36</v>
      </c>
      <c r="R1646" t="str">
        <f t="shared" si="281"/>
        <v>Tarifs conventionnels assurance maladie</v>
      </c>
      <c r="U1646" t="str">
        <f>"950043323"</f>
        <v>950043323</v>
      </c>
    </row>
    <row r="1647" spans="1:21" x14ac:dyDescent="0.3">
      <c r="A1647" t="str">
        <f>"750059842"</f>
        <v>750059842</v>
      </c>
      <c r="D1647" t="str">
        <f>"CDS  MEDICO DENTAIRE SAINT ANTOINE"</f>
        <v>CDS  MEDICO DENTAIRE SAINT ANTOINE</v>
      </c>
      <c r="F1647" t="str">
        <f>"238 RUE DU FAUBOURG SAINT ANTOINE"</f>
        <v>238 RUE DU FAUBOURG SAINT ANTOINE</v>
      </c>
      <c r="H1647" t="str">
        <f>"75012"</f>
        <v>75012</v>
      </c>
      <c r="I1647" t="str">
        <f>"PARIS"</f>
        <v>PARIS</v>
      </c>
      <c r="L1647" s="1">
        <v>42839</v>
      </c>
      <c r="M1647" t="str">
        <f t="shared" si="276"/>
        <v>124</v>
      </c>
      <c r="N1647" t="str">
        <f t="shared" si="277"/>
        <v>Centre de Santé</v>
      </c>
      <c r="O1647" t="str">
        <f t="shared" si="282"/>
        <v>60</v>
      </c>
      <c r="P1647" t="str">
        <f t="shared" si="283"/>
        <v>Association Loi 1901 non Reconnue d'Utilité Publique</v>
      </c>
      <c r="Q1647" t="str">
        <f t="shared" si="280"/>
        <v>36</v>
      </c>
      <c r="R1647" t="str">
        <f t="shared" si="281"/>
        <v>Tarifs conventionnels assurance maladie</v>
      </c>
      <c r="U1647" t="str">
        <f>"750061376"</f>
        <v>750061376</v>
      </c>
    </row>
    <row r="1648" spans="1:21" x14ac:dyDescent="0.3">
      <c r="A1648" t="str">
        <f>"710015454"</f>
        <v>710015454</v>
      </c>
      <c r="B1648" t="str">
        <f>"775 685 316 03789"</f>
        <v>775 685 316 03789</v>
      </c>
      <c r="D1648" t="str">
        <f>"CSP FILIERIS MONTCEAU MINES EQUIPAGES"</f>
        <v>CSP FILIERIS MONTCEAU MINES EQUIPAGES</v>
      </c>
      <c r="F1648" t="str">
        <f>"6 RUE FRANÇOIS MITTERRAND"</f>
        <v>6 RUE FRANÇOIS MITTERRAND</v>
      </c>
      <c r="H1648" t="str">
        <f>"71300"</f>
        <v>71300</v>
      </c>
      <c r="I1648" t="str">
        <f>"MONTCEAU LES MINES"</f>
        <v>MONTCEAU LES MINES</v>
      </c>
      <c r="J1648" t="str">
        <f>"03 74 85 00 00 "</f>
        <v xml:space="preserve">03 74 85 00 00 </v>
      </c>
      <c r="L1648" s="1">
        <v>42838</v>
      </c>
      <c r="M1648" t="str">
        <f t="shared" si="276"/>
        <v>124</v>
      </c>
      <c r="N1648" t="str">
        <f t="shared" si="277"/>
        <v>Centre de Santé</v>
      </c>
      <c r="O1648" t="str">
        <f>"41"</f>
        <v>41</v>
      </c>
      <c r="P1648" t="str">
        <f>"Régime Spécial de Sécurité Sociale"</f>
        <v>Régime Spécial de Sécurité Sociale</v>
      </c>
      <c r="Q1648" t="str">
        <f t="shared" si="280"/>
        <v>36</v>
      </c>
      <c r="R1648" t="str">
        <f t="shared" si="281"/>
        <v>Tarifs conventionnels assurance maladie</v>
      </c>
      <c r="U1648" t="str">
        <f>"750050759"</f>
        <v>750050759</v>
      </c>
    </row>
    <row r="1649" spans="1:21" x14ac:dyDescent="0.3">
      <c r="A1649" t="str">
        <f>"730012846"</f>
        <v>730012846</v>
      </c>
      <c r="B1649" t="str">
        <f>"267 300 044 00687"</f>
        <v>267 300 044 00687</v>
      </c>
      <c r="D1649" t="str">
        <f>"CENTRE DE SANTE DE BASSENS"</f>
        <v>CENTRE DE SANTE DE BASSENS</v>
      </c>
      <c r="E1649" t="str">
        <f>"BATIMENT 24 G"</f>
        <v>BATIMENT 24 G</v>
      </c>
      <c r="F1649" t="str">
        <f>"89 AVENUE DE BASSENS"</f>
        <v>89 AVENUE DE BASSENS</v>
      </c>
      <c r="H1649" t="str">
        <f>"73000"</f>
        <v>73000</v>
      </c>
      <c r="I1649" t="str">
        <f>"BASSENS"</f>
        <v>BASSENS</v>
      </c>
      <c r="J1649" t="str">
        <f>"04 79 60 30 30 "</f>
        <v xml:space="preserve">04 79 60 30 30 </v>
      </c>
      <c r="L1649" s="1">
        <v>42838</v>
      </c>
      <c r="M1649" t="str">
        <f t="shared" si="276"/>
        <v>124</v>
      </c>
      <c r="N1649" t="str">
        <f t="shared" si="277"/>
        <v>Centre de Santé</v>
      </c>
      <c r="O1649" t="str">
        <f>"11"</f>
        <v>11</v>
      </c>
      <c r="P1649" t="str">
        <f>"Etablissement Public Départemental d'Hospitalisation"</f>
        <v>Etablissement Public Départemental d'Hospitalisation</v>
      </c>
      <c r="Q1649" t="str">
        <f t="shared" si="280"/>
        <v>36</v>
      </c>
      <c r="R1649" t="str">
        <f t="shared" si="281"/>
        <v>Tarifs conventionnels assurance maladie</v>
      </c>
      <c r="U1649" t="str">
        <f>"730780582"</f>
        <v>730780582</v>
      </c>
    </row>
    <row r="1650" spans="1:21" x14ac:dyDescent="0.3">
      <c r="A1650" t="str">
        <f>"940023328"</f>
        <v>940023328</v>
      </c>
      <c r="D1650" t="str">
        <f>"CDS DENTAIRE ELISE VINCENNES"</f>
        <v>CDS DENTAIRE ELISE VINCENNES</v>
      </c>
      <c r="F1650" t="str">
        <f>"13 RUE DE MONTREUIL"</f>
        <v>13 RUE DE MONTREUIL</v>
      </c>
      <c r="H1650" t="str">
        <f>"94300"</f>
        <v>94300</v>
      </c>
      <c r="I1650" t="str">
        <f>"VINCENNES"</f>
        <v>VINCENNES</v>
      </c>
      <c r="L1650" s="1">
        <v>42838</v>
      </c>
      <c r="M1650" t="str">
        <f t="shared" si="276"/>
        <v>124</v>
      </c>
      <c r="N1650" t="str">
        <f t="shared" si="277"/>
        <v>Centre de Santé</v>
      </c>
      <c r="O1650" t="str">
        <f>"60"</f>
        <v>60</v>
      </c>
      <c r="P1650" t="str">
        <f>"Association Loi 1901 non Reconnue d'Utilité Publique"</f>
        <v>Association Loi 1901 non Reconnue d'Utilité Publique</v>
      </c>
      <c r="Q1650" t="str">
        <f t="shared" si="280"/>
        <v>36</v>
      </c>
      <c r="R1650" t="str">
        <f t="shared" si="281"/>
        <v>Tarifs conventionnels assurance maladie</v>
      </c>
      <c r="U1650" t="str">
        <f>"920029113"</f>
        <v>920029113</v>
      </c>
    </row>
    <row r="1651" spans="1:21" x14ac:dyDescent="0.3">
      <c r="A1651" t="str">
        <f>"940023344"</f>
        <v>940023344</v>
      </c>
      <c r="D1651" t="str">
        <f>"CDS DENTAIRE VILLEJUIF"</f>
        <v>CDS DENTAIRE VILLEJUIF</v>
      </c>
      <c r="F1651" t="str">
        <f>"26 AVENUE DE STALINGRAD"</f>
        <v>26 AVENUE DE STALINGRAD</v>
      </c>
      <c r="H1651" t="str">
        <f>"94800"</f>
        <v>94800</v>
      </c>
      <c r="I1651" t="str">
        <f>"VILLEJUIF"</f>
        <v>VILLEJUIF</v>
      </c>
      <c r="L1651" s="1">
        <v>42838</v>
      </c>
      <c r="M1651" t="str">
        <f t="shared" si="276"/>
        <v>124</v>
      </c>
      <c r="N1651" t="str">
        <f t="shared" si="277"/>
        <v>Centre de Santé</v>
      </c>
      <c r="O1651" t="str">
        <f>"60"</f>
        <v>60</v>
      </c>
      <c r="P1651" t="str">
        <f>"Association Loi 1901 non Reconnue d'Utilité Publique"</f>
        <v>Association Loi 1901 non Reconnue d'Utilité Publique</v>
      </c>
      <c r="Q1651" t="str">
        <f t="shared" si="280"/>
        <v>36</v>
      </c>
      <c r="R1651" t="str">
        <f t="shared" si="281"/>
        <v>Tarifs conventionnels assurance maladie</v>
      </c>
      <c r="U1651" t="str">
        <f>"940023336"</f>
        <v>940023336</v>
      </c>
    </row>
    <row r="1652" spans="1:21" x14ac:dyDescent="0.3">
      <c r="A1652" t="str">
        <f>"920030699"</f>
        <v>920030699</v>
      </c>
      <c r="D1652" t="str">
        <f>"CDS DENTAIRE DU PONT DE LEVALLOIS"</f>
        <v>CDS DENTAIRE DU PONT DE LEVALLOIS</v>
      </c>
      <c r="F1652" t="str">
        <f>"8 RUE AUGUSTE RENOIR"</f>
        <v>8 RUE AUGUSTE RENOIR</v>
      </c>
      <c r="H1652" t="str">
        <f>"92300"</f>
        <v>92300</v>
      </c>
      <c r="I1652" t="str">
        <f>"LEVALLOIS PERRET"</f>
        <v>LEVALLOIS PERRET</v>
      </c>
      <c r="J1652" t="str">
        <f>"06 08 87 28 33 "</f>
        <v xml:space="preserve">06 08 87 28 33 </v>
      </c>
      <c r="L1652" s="1">
        <v>42822</v>
      </c>
      <c r="M1652" t="str">
        <f t="shared" si="276"/>
        <v>124</v>
      </c>
      <c r="N1652" t="str">
        <f t="shared" si="277"/>
        <v>Centre de Santé</v>
      </c>
      <c r="O1652" t="str">
        <f>"60"</f>
        <v>60</v>
      </c>
      <c r="P1652" t="str">
        <f>"Association Loi 1901 non Reconnue d'Utilité Publique"</f>
        <v>Association Loi 1901 non Reconnue d'Utilité Publique</v>
      </c>
      <c r="Q1652" t="str">
        <f t="shared" si="280"/>
        <v>36</v>
      </c>
      <c r="R1652" t="str">
        <f t="shared" si="281"/>
        <v>Tarifs conventionnels assurance maladie</v>
      </c>
      <c r="U1652" t="str">
        <f>"920030681"</f>
        <v>920030681</v>
      </c>
    </row>
    <row r="1653" spans="1:21" x14ac:dyDescent="0.3">
      <c r="A1653" t="str">
        <f>"220023808"</f>
        <v>220023808</v>
      </c>
      <c r="B1653" t="str">
        <f>"200 034 767 00018"</f>
        <v>200 034 767 00018</v>
      </c>
      <c r="D1653" t="str">
        <f>"CDS DU PENTHIEVRE ET DU POUDOUVRE"</f>
        <v>CDS DU PENTHIEVRE ET DU POUDOUVRE</v>
      </c>
      <c r="F1653" t="str">
        <f>"13 RUE DU JEU DE PAUME"</f>
        <v>13 RUE DU JEU DE PAUME</v>
      </c>
      <c r="G1653" t="str">
        <f>"BP 90527"</f>
        <v>BP 90527</v>
      </c>
      <c r="H1653" t="str">
        <f>"22400"</f>
        <v>22400</v>
      </c>
      <c r="I1653" t="str">
        <f>"LAMBALLE ARMOR"</f>
        <v>LAMBALLE ARMOR</v>
      </c>
      <c r="K1653" t="str">
        <f>"02 96 50 15 00"</f>
        <v>02 96 50 15 00</v>
      </c>
      <c r="L1653" s="1">
        <v>42814</v>
      </c>
      <c r="M1653" t="str">
        <f t="shared" si="276"/>
        <v>124</v>
      </c>
      <c r="N1653" t="str">
        <f t="shared" si="277"/>
        <v>Centre de Santé</v>
      </c>
      <c r="O1653" t="str">
        <f>"14"</f>
        <v>14</v>
      </c>
      <c r="P1653" t="str">
        <f>"Etablissement Public Intercommunal d'Hospitalisation"</f>
        <v>Etablissement Public Intercommunal d'Hospitalisation</v>
      </c>
      <c r="Q1653" t="str">
        <f t="shared" ref="Q1653:Q1684" si="284">"36"</f>
        <v>36</v>
      </c>
      <c r="R1653" t="str">
        <f t="shared" ref="R1653:R1684" si="285">"Tarifs conventionnels assurance maladie"</f>
        <v>Tarifs conventionnels assurance maladie</v>
      </c>
      <c r="U1653" t="str">
        <f>"220021968"</f>
        <v>220021968</v>
      </c>
    </row>
    <row r="1654" spans="1:21" x14ac:dyDescent="0.3">
      <c r="A1654" t="str">
        <f>"330059072"</f>
        <v>330059072</v>
      </c>
      <c r="B1654" t="str">
        <f>"193 301 595 00016"</f>
        <v>193 301 595 00016</v>
      </c>
      <c r="D1654" t="str">
        <f>"C. S. CREPS BORDEAUX-AQUITAINE"</f>
        <v>C. S. CREPS BORDEAUX-AQUITAINE</v>
      </c>
      <c r="F1654" t="str">
        <f>"653 COURS DE LA LIBERATION"</f>
        <v>653 COURS DE LA LIBERATION</v>
      </c>
      <c r="H1654" t="str">
        <f>"33405"</f>
        <v>33405</v>
      </c>
      <c r="I1654" t="str">
        <f>"TALENCE CEDEX"</f>
        <v>TALENCE CEDEX</v>
      </c>
      <c r="J1654" t="str">
        <f>"05 56 84 80 61 "</f>
        <v xml:space="preserve">05 56 84 80 61 </v>
      </c>
      <c r="K1654" t="str">
        <f>"05 56 84 66 62"</f>
        <v>05 56 84 66 62</v>
      </c>
      <c r="L1654" s="1">
        <v>42814</v>
      </c>
      <c r="M1654" t="str">
        <f t="shared" si="276"/>
        <v>124</v>
      </c>
      <c r="N1654" t="str">
        <f t="shared" si="277"/>
        <v>Centre de Santé</v>
      </c>
      <c r="O1654" t="str">
        <f>"26"</f>
        <v>26</v>
      </c>
      <c r="P1654" t="str">
        <f>"Autre Etablissement Public à Caractère Administratif"</f>
        <v>Autre Etablissement Public à Caractère Administratif</v>
      </c>
      <c r="Q1654" t="str">
        <f t="shared" si="284"/>
        <v>36</v>
      </c>
      <c r="R1654" t="str">
        <f t="shared" si="285"/>
        <v>Tarifs conventionnels assurance maladie</v>
      </c>
      <c r="U1654" t="str">
        <f>"330059064"</f>
        <v>330059064</v>
      </c>
    </row>
    <row r="1655" spans="1:21" x14ac:dyDescent="0.3">
      <c r="A1655" t="str">
        <f>"930027388"</f>
        <v>930027388</v>
      </c>
      <c r="B1655" t="str">
        <f>"323 690 271 00032"</f>
        <v>323 690 271 00032</v>
      </c>
      <c r="D1655" t="str">
        <f>"CDS DENTAIRE DE LA COURNEUVE"</f>
        <v>CDS DENTAIRE DE LA COURNEUVE</v>
      </c>
      <c r="F1655" t="str">
        <f>"121 AVENUE PAUL VAILLANT COUTURIER"</f>
        <v>121 AVENUE PAUL VAILLANT COUTURIER</v>
      </c>
      <c r="H1655" t="str">
        <f>"93120"</f>
        <v>93120</v>
      </c>
      <c r="I1655" t="str">
        <f>"LA COURNEUVE"</f>
        <v>LA COURNEUVE</v>
      </c>
      <c r="L1655" s="1">
        <v>42811</v>
      </c>
      <c r="M1655" t="str">
        <f t="shared" si="276"/>
        <v>124</v>
      </c>
      <c r="N1655" t="str">
        <f t="shared" si="277"/>
        <v>Centre de Santé</v>
      </c>
      <c r="O1655" t="str">
        <f>"40"</f>
        <v>40</v>
      </c>
      <c r="P1655" t="str">
        <f>"Régime Général de Sécurité Sociale"</f>
        <v>Régime Général de Sécurité Sociale</v>
      </c>
      <c r="Q1655" t="str">
        <f t="shared" si="284"/>
        <v>36</v>
      </c>
      <c r="R1655" t="str">
        <f t="shared" si="285"/>
        <v>Tarifs conventionnels assurance maladie</v>
      </c>
      <c r="U1655" t="str">
        <f>"930700661"</f>
        <v>930700661</v>
      </c>
    </row>
    <row r="1656" spans="1:21" x14ac:dyDescent="0.3">
      <c r="A1656" t="str">
        <f>"910022177"</f>
        <v>910022177</v>
      </c>
      <c r="D1656" t="str">
        <f>"CDS MEDICAL ET DENTAIRE ATLANTIS"</f>
        <v>CDS MEDICAL ET DENTAIRE ATLANTIS</v>
      </c>
      <c r="F1656" t="str">
        <f>"18 MAIL ATLANTIS"</f>
        <v>18 MAIL ATLANTIS</v>
      </c>
      <c r="H1656" t="str">
        <f>"91300"</f>
        <v>91300</v>
      </c>
      <c r="I1656" t="str">
        <f>"MASSY"</f>
        <v>MASSY</v>
      </c>
      <c r="L1656" s="1">
        <v>42808</v>
      </c>
      <c r="M1656" t="str">
        <f t="shared" si="276"/>
        <v>124</v>
      </c>
      <c r="N1656" t="str">
        <f t="shared" si="277"/>
        <v>Centre de Santé</v>
      </c>
      <c r="O1656" t="str">
        <f>"60"</f>
        <v>60</v>
      </c>
      <c r="P1656" t="str">
        <f>"Association Loi 1901 non Reconnue d'Utilité Publique"</f>
        <v>Association Loi 1901 non Reconnue d'Utilité Publique</v>
      </c>
      <c r="Q1656" t="str">
        <f t="shared" si="284"/>
        <v>36</v>
      </c>
      <c r="R1656" t="str">
        <f t="shared" si="285"/>
        <v>Tarifs conventionnels assurance maladie</v>
      </c>
      <c r="U1656" t="str">
        <f>"750059768"</f>
        <v>750059768</v>
      </c>
    </row>
    <row r="1657" spans="1:21" x14ac:dyDescent="0.3">
      <c r="A1657" t="str">
        <f>"060024874"</f>
        <v>060024874</v>
      </c>
      <c r="D1657" t="str">
        <f>"CDS DENTAIRE CANNES GARE"</f>
        <v>CDS DENTAIRE CANNES GARE</v>
      </c>
      <c r="F1657" t="str">
        <f>"34 RUE JEAN JAURES"</f>
        <v>34 RUE JEAN JAURES</v>
      </c>
      <c r="H1657" t="str">
        <f>"06400"</f>
        <v>06400</v>
      </c>
      <c r="I1657" t="str">
        <f>"CANNES"</f>
        <v>CANNES</v>
      </c>
      <c r="J1657" t="str">
        <f>"04 22 54 22 54 "</f>
        <v xml:space="preserve">04 22 54 22 54 </v>
      </c>
      <c r="L1657" s="1">
        <v>42804</v>
      </c>
      <c r="M1657" t="str">
        <f t="shared" si="276"/>
        <v>124</v>
      </c>
      <c r="N1657" t="str">
        <f t="shared" si="277"/>
        <v>Centre de Santé</v>
      </c>
      <c r="O1657" t="str">
        <f>"60"</f>
        <v>60</v>
      </c>
      <c r="P1657" t="str">
        <f>"Association Loi 1901 non Reconnue d'Utilité Publique"</f>
        <v>Association Loi 1901 non Reconnue d'Utilité Publique</v>
      </c>
      <c r="Q1657" t="str">
        <f t="shared" si="284"/>
        <v>36</v>
      </c>
      <c r="R1657" t="str">
        <f t="shared" si="285"/>
        <v>Tarifs conventionnels assurance maladie</v>
      </c>
      <c r="U1657" t="str">
        <f>"060024866"</f>
        <v>060024866</v>
      </c>
    </row>
    <row r="1658" spans="1:21" x14ac:dyDescent="0.3">
      <c r="A1658" t="str">
        <f>"780023891"</f>
        <v>780023891</v>
      </c>
      <c r="B1658" t="str">
        <f>"393 902 135 00036"</f>
        <v>393 902 135 00036</v>
      </c>
      <c r="D1658" t="str">
        <f>"CDS  D'ACHERES"</f>
        <v>CDS  D'ACHERES</v>
      </c>
      <c r="F1658" t="str">
        <f>"ZONE DE LA PETITE ARCHE"</f>
        <v>ZONE DE LA PETITE ARCHE</v>
      </c>
      <c r="G1658" t="str">
        <f>"PLACE SIMONE VEIL"</f>
        <v>PLACE SIMONE VEIL</v>
      </c>
      <c r="H1658" t="str">
        <f>"78260"</f>
        <v>78260</v>
      </c>
      <c r="I1658" t="str">
        <f>"ACHERES"</f>
        <v>ACHERES</v>
      </c>
      <c r="J1658" t="str">
        <f>"01 78 63 22 60 "</f>
        <v xml:space="preserve">01 78 63 22 60 </v>
      </c>
      <c r="K1658" t="str">
        <f>"01 78 63 22 60"</f>
        <v>01 78 63 22 60</v>
      </c>
      <c r="L1658" s="1">
        <v>42802</v>
      </c>
      <c r="M1658" t="str">
        <f t="shared" si="276"/>
        <v>124</v>
      </c>
      <c r="N1658" t="str">
        <f t="shared" si="277"/>
        <v>Centre de Santé</v>
      </c>
      <c r="O1658" t="str">
        <f>"95"</f>
        <v>95</v>
      </c>
      <c r="P1658" t="str">
        <f>"Société par Actions Simplifiée (S.A.S.)"</f>
        <v>Société par Actions Simplifiée (S.A.S.)</v>
      </c>
      <c r="Q1658" t="str">
        <f t="shared" si="284"/>
        <v>36</v>
      </c>
      <c r="R1658" t="str">
        <f t="shared" si="285"/>
        <v>Tarifs conventionnels assurance maladie</v>
      </c>
      <c r="U1658" t="str">
        <f>"780822193"</f>
        <v>780822193</v>
      </c>
    </row>
    <row r="1659" spans="1:21" x14ac:dyDescent="0.3">
      <c r="A1659" t="str">
        <f>"750059743"</f>
        <v>750059743</v>
      </c>
      <c r="B1659" t="str">
        <f>"819 063 520 00012"</f>
        <v>819 063 520 00012</v>
      </c>
      <c r="D1659" t="str">
        <f>"CDS CENTRE DENTAIRE FRANCAIS"</f>
        <v>CDS CENTRE DENTAIRE FRANCAIS</v>
      </c>
      <c r="F1659" t="str">
        <f>"128 BOULEVARD BRUNE"</f>
        <v>128 BOULEVARD BRUNE</v>
      </c>
      <c r="H1659" t="str">
        <f>"75014"</f>
        <v>75014</v>
      </c>
      <c r="I1659" t="str">
        <f>"PARIS"</f>
        <v>PARIS</v>
      </c>
      <c r="L1659" s="1">
        <v>42801</v>
      </c>
      <c r="M1659" t="str">
        <f t="shared" si="276"/>
        <v>124</v>
      </c>
      <c r="N1659" t="str">
        <f t="shared" si="277"/>
        <v>Centre de Santé</v>
      </c>
      <c r="O1659" t="str">
        <f>"60"</f>
        <v>60</v>
      </c>
      <c r="P1659" t="str">
        <f>"Association Loi 1901 non Reconnue d'Utilité Publique"</f>
        <v>Association Loi 1901 non Reconnue d'Utilité Publique</v>
      </c>
      <c r="Q1659" t="str">
        <f t="shared" si="284"/>
        <v>36</v>
      </c>
      <c r="R1659" t="str">
        <f t="shared" si="285"/>
        <v>Tarifs conventionnels assurance maladie</v>
      </c>
      <c r="U1659" t="str">
        <f>"750059735"</f>
        <v>750059735</v>
      </c>
    </row>
    <row r="1660" spans="1:21" x14ac:dyDescent="0.3">
      <c r="A1660" t="str">
        <f>"130043532"</f>
        <v>130043532</v>
      </c>
      <c r="B1660" t="str">
        <f>"789 959 020 00015"</f>
        <v>789 959 020 00015</v>
      </c>
      <c r="D1660" t="str">
        <f>"CDS DENTAIRE PADOVANI"</f>
        <v>CDS DENTAIRE PADOVANI</v>
      </c>
      <c r="F1660" t="str">
        <f>"33 AVENUE PADOVANI"</f>
        <v>33 AVENUE PADOVANI</v>
      </c>
      <c r="H1660" t="str">
        <f>"13127"</f>
        <v>13127</v>
      </c>
      <c r="I1660" t="str">
        <f>"VITROLLES"</f>
        <v>VITROLLES</v>
      </c>
      <c r="J1660" t="str">
        <f>"06 24 72 25 68 "</f>
        <v xml:space="preserve">06 24 72 25 68 </v>
      </c>
      <c r="L1660" s="1">
        <v>42800</v>
      </c>
      <c r="M1660" t="str">
        <f t="shared" si="276"/>
        <v>124</v>
      </c>
      <c r="N1660" t="str">
        <f t="shared" si="277"/>
        <v>Centre de Santé</v>
      </c>
      <c r="O1660" t="str">
        <f>"60"</f>
        <v>60</v>
      </c>
      <c r="P1660" t="str">
        <f>"Association Loi 1901 non Reconnue d'Utilité Publique"</f>
        <v>Association Loi 1901 non Reconnue d'Utilité Publique</v>
      </c>
      <c r="Q1660" t="str">
        <f t="shared" si="284"/>
        <v>36</v>
      </c>
      <c r="R1660" t="str">
        <f t="shared" si="285"/>
        <v>Tarifs conventionnels assurance maladie</v>
      </c>
      <c r="U1660" t="str">
        <f>"750054140"</f>
        <v>750054140</v>
      </c>
    </row>
    <row r="1661" spans="1:21" x14ac:dyDescent="0.3">
      <c r="A1661" t="str">
        <f>"750059727"</f>
        <v>750059727</v>
      </c>
      <c r="D1661" t="str">
        <f>"CDS OPHTALMOLOGIQUE CHEMIN VERT"</f>
        <v>CDS OPHTALMOLOGIQUE CHEMIN VERT</v>
      </c>
      <c r="F1661" t="str">
        <f>"141 RUE DU CHEMIN VERT"</f>
        <v>141 RUE DU CHEMIN VERT</v>
      </c>
      <c r="H1661" t="str">
        <f>"75011"</f>
        <v>75011</v>
      </c>
      <c r="I1661" t="str">
        <f>"PARIS"</f>
        <v>PARIS</v>
      </c>
      <c r="L1661" s="1">
        <v>42800</v>
      </c>
      <c r="M1661" t="str">
        <f t="shared" si="276"/>
        <v>124</v>
      </c>
      <c r="N1661" t="str">
        <f t="shared" si="277"/>
        <v>Centre de Santé</v>
      </c>
      <c r="O1661" t="str">
        <f>"60"</f>
        <v>60</v>
      </c>
      <c r="P1661" t="str">
        <f>"Association Loi 1901 non Reconnue d'Utilité Publique"</f>
        <v>Association Loi 1901 non Reconnue d'Utilité Publique</v>
      </c>
      <c r="Q1661" t="str">
        <f t="shared" si="284"/>
        <v>36</v>
      </c>
      <c r="R1661" t="str">
        <f t="shared" si="285"/>
        <v>Tarifs conventionnels assurance maladie</v>
      </c>
      <c r="U1661" t="str">
        <f>"750059719"</f>
        <v>750059719</v>
      </c>
    </row>
    <row r="1662" spans="1:21" x14ac:dyDescent="0.3">
      <c r="A1662" t="str">
        <f>"800019671"</f>
        <v>800019671</v>
      </c>
      <c r="D1662" t="str">
        <f>"CENTRE DE SANTÉ DENTAIRE"</f>
        <v>CENTRE DE SANTÉ DENTAIRE</v>
      </c>
      <c r="F1662" t="str">
        <f>"1 RUE MAURICE RAVEL"</f>
        <v>1 RUE MAURICE RAVEL</v>
      </c>
      <c r="H1662" t="str">
        <f>"80080"</f>
        <v>80080</v>
      </c>
      <c r="I1662" t="str">
        <f>"AMIENS"</f>
        <v>AMIENS</v>
      </c>
      <c r="J1662" t="str">
        <f>"03 22 52 00 52 "</f>
        <v xml:space="preserve">03 22 52 00 52 </v>
      </c>
      <c r="L1662" s="1">
        <v>42800</v>
      </c>
      <c r="M1662" t="str">
        <f t="shared" si="276"/>
        <v>124</v>
      </c>
      <c r="N1662" t="str">
        <f t="shared" si="277"/>
        <v>Centre de Santé</v>
      </c>
      <c r="O1662" t="str">
        <f>"47"</f>
        <v>47</v>
      </c>
      <c r="P1662" t="str">
        <f>"Société Mutualiste"</f>
        <v>Société Mutualiste</v>
      </c>
      <c r="Q1662" t="str">
        <f t="shared" si="284"/>
        <v>36</v>
      </c>
      <c r="R1662" t="str">
        <f t="shared" si="285"/>
        <v>Tarifs conventionnels assurance maladie</v>
      </c>
      <c r="U1662" t="str">
        <f>"800010993"</f>
        <v>800010993</v>
      </c>
    </row>
    <row r="1663" spans="1:21" x14ac:dyDescent="0.3">
      <c r="A1663" t="str">
        <f>"130046089"</f>
        <v>130046089</v>
      </c>
      <c r="B1663" t="str">
        <f>"801 268 376 00028"</f>
        <v>801 268 376 00028</v>
      </c>
      <c r="D1663" t="str">
        <f>"CDS PARTICIPATIF LE CHATEAU EN SANTE"</f>
        <v>CDS PARTICIPATIF LE CHATEAU EN SANTE</v>
      </c>
      <c r="F1663" t="str">
        <f>"10 IMPASSE MICHEL CRESPIN PARC KALISTE"</f>
        <v>10 IMPASSE MICHEL CRESPIN PARC KALISTE</v>
      </c>
      <c r="H1663" t="str">
        <f>"13015"</f>
        <v>13015</v>
      </c>
      <c r="I1663" t="str">
        <f>"MARSEILLE"</f>
        <v>MARSEILLE</v>
      </c>
      <c r="J1663" t="str">
        <f>"09 72 64 42 00 "</f>
        <v xml:space="preserve">09 72 64 42 00 </v>
      </c>
      <c r="L1663" s="1">
        <v>42799</v>
      </c>
      <c r="M1663" t="str">
        <f t="shared" si="276"/>
        <v>124</v>
      </c>
      <c r="N1663" t="str">
        <f t="shared" si="277"/>
        <v>Centre de Santé</v>
      </c>
      <c r="O1663" t="str">
        <f>"60"</f>
        <v>60</v>
      </c>
      <c r="P1663" t="str">
        <f>"Association Loi 1901 non Reconnue d'Utilité Publique"</f>
        <v>Association Loi 1901 non Reconnue d'Utilité Publique</v>
      </c>
      <c r="Q1663" t="str">
        <f t="shared" si="284"/>
        <v>36</v>
      </c>
      <c r="R1663" t="str">
        <f t="shared" si="285"/>
        <v>Tarifs conventionnels assurance maladie</v>
      </c>
      <c r="U1663" t="str">
        <f>"130046071"</f>
        <v>130046071</v>
      </c>
    </row>
    <row r="1664" spans="1:21" x14ac:dyDescent="0.3">
      <c r="A1664" t="str">
        <f>"420015273"</f>
        <v>420015273</v>
      </c>
      <c r="B1664" t="str">
        <f>"825 372 063 00024"</f>
        <v>825 372 063 00024</v>
      </c>
      <c r="D1664" t="str">
        <f>"CENTRE DE SANTE DENTAIRE PASCAL GARIN"</f>
        <v>CENTRE DE SANTE DENTAIRE PASCAL GARIN</v>
      </c>
      <c r="F1664" t="str">
        <f>"15 RUE DE LA PRESSE"</f>
        <v>15 RUE DE LA PRESSE</v>
      </c>
      <c r="H1664" t="str">
        <f>"42000"</f>
        <v>42000</v>
      </c>
      <c r="I1664" t="str">
        <f>"ST ETIENNE"</f>
        <v>ST ETIENNE</v>
      </c>
      <c r="J1664" t="str">
        <f>"04 77 75 86 72 "</f>
        <v xml:space="preserve">04 77 75 86 72 </v>
      </c>
      <c r="L1664" s="1">
        <v>42795</v>
      </c>
      <c r="M1664" t="str">
        <f t="shared" si="276"/>
        <v>124</v>
      </c>
      <c r="N1664" t="str">
        <f t="shared" si="277"/>
        <v>Centre de Santé</v>
      </c>
      <c r="O1664" t="str">
        <f>"60"</f>
        <v>60</v>
      </c>
      <c r="P1664" t="str">
        <f>"Association Loi 1901 non Reconnue d'Utilité Publique"</f>
        <v>Association Loi 1901 non Reconnue d'Utilité Publique</v>
      </c>
      <c r="Q1664" t="str">
        <f t="shared" si="284"/>
        <v>36</v>
      </c>
      <c r="R1664" t="str">
        <f t="shared" si="285"/>
        <v>Tarifs conventionnels assurance maladie</v>
      </c>
      <c r="U1664" t="str">
        <f>"420016560"</f>
        <v>420016560</v>
      </c>
    </row>
    <row r="1665" spans="1:21" x14ac:dyDescent="0.3">
      <c r="A1665" t="str">
        <f>"580006526"</f>
        <v>580006526</v>
      </c>
      <c r="D1665" t="str">
        <f>"CENTRE POLYVALENT DE SANTE MUTUALISTE"</f>
        <v>CENTRE POLYVALENT DE SANTE MUTUALISTE</v>
      </c>
      <c r="F1665" t="str">
        <f>"20 RUE ALBERT CAMUS"</f>
        <v>20 RUE ALBERT CAMUS</v>
      </c>
      <c r="H1665" t="str">
        <f>"58000"</f>
        <v>58000</v>
      </c>
      <c r="I1665" t="str">
        <f>"NEVERS"</f>
        <v>NEVERS</v>
      </c>
      <c r="L1665" s="1">
        <v>42793</v>
      </c>
      <c r="M1665" t="str">
        <f t="shared" si="276"/>
        <v>124</v>
      </c>
      <c r="N1665" t="str">
        <f t="shared" si="277"/>
        <v>Centre de Santé</v>
      </c>
      <c r="O1665" t="str">
        <f>"47"</f>
        <v>47</v>
      </c>
      <c r="P1665" t="str">
        <f>"Société Mutualiste"</f>
        <v>Société Mutualiste</v>
      </c>
      <c r="Q1665" t="str">
        <f t="shared" si="284"/>
        <v>36</v>
      </c>
      <c r="R1665" t="str">
        <f t="shared" si="285"/>
        <v>Tarifs conventionnels assurance maladie</v>
      </c>
      <c r="U1665" t="str">
        <f>"210781266"</f>
        <v>210781266</v>
      </c>
    </row>
    <row r="1666" spans="1:21" x14ac:dyDescent="0.3">
      <c r="A1666" t="str">
        <f>"310027024"</f>
        <v>310027024</v>
      </c>
      <c r="D1666" t="str">
        <f>"CDS INFIRMIER BASSO CAMBO"</f>
        <v>CDS INFIRMIER BASSO CAMBO</v>
      </c>
      <c r="E1666" t="str">
        <f>"BAT B 2 ETAGE"</f>
        <v>BAT B 2 ETAGE</v>
      </c>
      <c r="F1666" t="str">
        <f>"3 RUE DOYEN LEFEVRE"</f>
        <v>3 RUE DOYEN LEFEVRE</v>
      </c>
      <c r="H1666" t="str">
        <f>"31100"</f>
        <v>31100</v>
      </c>
      <c r="I1666" t="str">
        <f>"TOULOUSE"</f>
        <v>TOULOUSE</v>
      </c>
      <c r="J1666" t="str">
        <f>"05 61 76 62 84 "</f>
        <v xml:space="preserve">05 61 76 62 84 </v>
      </c>
      <c r="L1666" s="1">
        <v>42790</v>
      </c>
      <c r="M1666" t="str">
        <f t="shared" ref="M1666:M1729" si="286">"124"</f>
        <v>124</v>
      </c>
      <c r="N1666" t="str">
        <f t="shared" ref="N1666:N1729" si="287">"Centre de Santé"</f>
        <v>Centre de Santé</v>
      </c>
      <c r="O1666" t="str">
        <f>"47"</f>
        <v>47</v>
      </c>
      <c r="P1666" t="str">
        <f>"Société Mutualiste"</f>
        <v>Société Mutualiste</v>
      </c>
      <c r="Q1666" t="str">
        <f t="shared" si="284"/>
        <v>36</v>
      </c>
      <c r="R1666" t="str">
        <f t="shared" si="285"/>
        <v>Tarifs conventionnels assurance maladie</v>
      </c>
      <c r="U1666" t="str">
        <f>"310788682"</f>
        <v>310788682</v>
      </c>
    </row>
    <row r="1667" spans="1:21" x14ac:dyDescent="0.3">
      <c r="A1667" t="str">
        <f>"750059651"</f>
        <v>750059651</v>
      </c>
      <c r="B1667" t="str">
        <f>"824 877 252 00018"</f>
        <v>824 877 252 00018</v>
      </c>
      <c r="D1667" t="str">
        <f>"CDS MEDICO DENTAIRE SAINT PETERSBOURG"</f>
        <v>CDS MEDICO DENTAIRE SAINT PETERSBOURG</v>
      </c>
      <c r="F1667" t="str">
        <f>"24 RUE SAINT PETERSBOURG"</f>
        <v>24 RUE SAINT PETERSBOURG</v>
      </c>
      <c r="H1667" t="str">
        <f>"75008"</f>
        <v>75008</v>
      </c>
      <c r="I1667" t="str">
        <f>"PARIS"</f>
        <v>PARIS</v>
      </c>
      <c r="L1667" s="1">
        <v>42788</v>
      </c>
      <c r="M1667" t="str">
        <f t="shared" si="286"/>
        <v>124</v>
      </c>
      <c r="N1667" t="str">
        <f t="shared" si="287"/>
        <v>Centre de Santé</v>
      </c>
      <c r="O1667" t="str">
        <f>"60"</f>
        <v>60</v>
      </c>
      <c r="P1667" t="str">
        <f>"Association Loi 1901 non Reconnue d'Utilité Publique"</f>
        <v>Association Loi 1901 non Reconnue d'Utilité Publique</v>
      </c>
      <c r="Q1667" t="str">
        <f t="shared" si="284"/>
        <v>36</v>
      </c>
      <c r="R1667" t="str">
        <f t="shared" si="285"/>
        <v>Tarifs conventionnels assurance maladie</v>
      </c>
      <c r="U1667" t="str">
        <f>"750059644"</f>
        <v>750059644</v>
      </c>
    </row>
    <row r="1668" spans="1:21" x14ac:dyDescent="0.3">
      <c r="A1668" t="str">
        <f>"920030665"</f>
        <v>920030665</v>
      </c>
      <c r="B1668" t="str">
        <f>"824 306 138 00010"</f>
        <v>824 306 138 00010</v>
      </c>
      <c r="D1668" t="str">
        <f>"CDS CENTRE DENTAIRE DE FRANCE"</f>
        <v>CDS CENTRE DENTAIRE DE FRANCE</v>
      </c>
      <c r="F1668" t="str">
        <f>"29 AVENUE DU GENERAL DE GAULLE"</f>
        <v>29 AVENUE DU GENERAL DE GAULLE</v>
      </c>
      <c r="H1668" t="str">
        <f>"92360"</f>
        <v>92360</v>
      </c>
      <c r="I1668" t="str">
        <f>"MEUDON"</f>
        <v>MEUDON</v>
      </c>
      <c r="L1668" s="1">
        <v>42788</v>
      </c>
      <c r="M1668" t="str">
        <f t="shared" si="286"/>
        <v>124</v>
      </c>
      <c r="N1668" t="str">
        <f t="shared" si="287"/>
        <v>Centre de Santé</v>
      </c>
      <c r="O1668" t="str">
        <f>"60"</f>
        <v>60</v>
      </c>
      <c r="P1668" t="str">
        <f>"Association Loi 1901 non Reconnue d'Utilité Publique"</f>
        <v>Association Loi 1901 non Reconnue d'Utilité Publique</v>
      </c>
      <c r="Q1668" t="str">
        <f t="shared" si="284"/>
        <v>36</v>
      </c>
      <c r="R1668" t="str">
        <f t="shared" si="285"/>
        <v>Tarifs conventionnels assurance maladie</v>
      </c>
      <c r="U1668" t="str">
        <f>"920030657"</f>
        <v>920030657</v>
      </c>
    </row>
    <row r="1669" spans="1:21" x14ac:dyDescent="0.3">
      <c r="A1669" t="str">
        <f>"940023245"</f>
        <v>940023245</v>
      </c>
      <c r="D1669" t="str">
        <f>"CDS MEDICO-DENTAIRE IVRY"</f>
        <v>CDS MEDICO-DENTAIRE IVRY</v>
      </c>
      <c r="F1669" t="str">
        <f>"136 AVENUE DANIELLE CASANOVA"</f>
        <v>136 AVENUE DANIELLE CASANOVA</v>
      </c>
      <c r="H1669" t="str">
        <f>"94200"</f>
        <v>94200</v>
      </c>
      <c r="I1669" t="str">
        <f>"IVRY SUR SEINE"</f>
        <v>IVRY SUR SEINE</v>
      </c>
      <c r="L1669" s="1">
        <v>42779</v>
      </c>
      <c r="M1669" t="str">
        <f t="shared" si="286"/>
        <v>124</v>
      </c>
      <c r="N1669" t="str">
        <f t="shared" si="287"/>
        <v>Centre de Santé</v>
      </c>
      <c r="O1669" t="str">
        <f>"60"</f>
        <v>60</v>
      </c>
      <c r="P1669" t="str">
        <f>"Association Loi 1901 non Reconnue d'Utilité Publique"</f>
        <v>Association Loi 1901 non Reconnue d'Utilité Publique</v>
      </c>
      <c r="Q1669" t="str">
        <f t="shared" si="284"/>
        <v>36</v>
      </c>
      <c r="R1669" t="str">
        <f t="shared" si="285"/>
        <v>Tarifs conventionnels assurance maladie</v>
      </c>
      <c r="U1669" t="str">
        <f>"940023237"</f>
        <v>940023237</v>
      </c>
    </row>
    <row r="1670" spans="1:21" x14ac:dyDescent="0.3">
      <c r="A1670" t="str">
        <f>"060024841"</f>
        <v>060024841</v>
      </c>
      <c r="D1670" t="str">
        <f>"CDS DENTAIRE DE CANNES"</f>
        <v>CDS DENTAIRE DE CANNES</v>
      </c>
      <c r="F1670" t="str">
        <f>"1 RUE JEAN JAURES"</f>
        <v>1 RUE JEAN JAURES</v>
      </c>
      <c r="H1670" t="str">
        <f>"06400"</f>
        <v>06400</v>
      </c>
      <c r="I1670" t="str">
        <f>"CANNES"</f>
        <v>CANNES</v>
      </c>
      <c r="J1670" t="str">
        <f>"04 93 30 30 30 "</f>
        <v xml:space="preserve">04 93 30 30 30 </v>
      </c>
      <c r="L1670" s="1">
        <v>42772</v>
      </c>
      <c r="M1670" t="str">
        <f t="shared" si="286"/>
        <v>124</v>
      </c>
      <c r="N1670" t="str">
        <f t="shared" si="287"/>
        <v>Centre de Santé</v>
      </c>
      <c r="O1670" t="str">
        <f>"60"</f>
        <v>60</v>
      </c>
      <c r="P1670" t="str">
        <f>"Association Loi 1901 non Reconnue d'Utilité Publique"</f>
        <v>Association Loi 1901 non Reconnue d'Utilité Publique</v>
      </c>
      <c r="Q1670" t="str">
        <f t="shared" si="284"/>
        <v>36</v>
      </c>
      <c r="R1670" t="str">
        <f t="shared" si="285"/>
        <v>Tarifs conventionnels assurance maladie</v>
      </c>
      <c r="U1670" t="str">
        <f>"060024833"</f>
        <v>060024833</v>
      </c>
    </row>
    <row r="1671" spans="1:21" x14ac:dyDescent="0.3">
      <c r="A1671" t="str">
        <f>"240016394"</f>
        <v>240016394</v>
      </c>
      <c r="B1671" t="str">
        <f>"212 400 378 00569"</f>
        <v>212 400 378 00569</v>
      </c>
      <c r="D1671" t="str">
        <f>"CENTRE MUNICIPAL DE SANTÉ DE BERGERAC"</f>
        <v>CENTRE MUNICIPAL DE SANTÉ DE BERGERAC</v>
      </c>
      <c r="E1671" t="str">
        <f>"ESPACE BELLEGARDE"</f>
        <v>ESPACE BELLEGARDE</v>
      </c>
      <c r="F1671" t="str">
        <f>"PLACE BELLEGARDE"</f>
        <v>PLACE BELLEGARDE</v>
      </c>
      <c r="H1671" t="str">
        <f>"24100"</f>
        <v>24100</v>
      </c>
      <c r="I1671" t="str">
        <f>"BERGERAC"</f>
        <v>BERGERAC</v>
      </c>
      <c r="J1671" t="str">
        <f>"05 53 74 65 42 "</f>
        <v xml:space="preserve">05 53 74 65 42 </v>
      </c>
      <c r="L1671" s="1">
        <v>42767</v>
      </c>
      <c r="M1671" t="str">
        <f t="shared" si="286"/>
        <v>124</v>
      </c>
      <c r="N1671" t="str">
        <f t="shared" si="287"/>
        <v>Centre de Santé</v>
      </c>
      <c r="O1671" t="str">
        <f>"03"</f>
        <v>03</v>
      </c>
      <c r="P1671" t="str">
        <f>"Commune"</f>
        <v>Commune</v>
      </c>
      <c r="Q1671" t="str">
        <f t="shared" si="284"/>
        <v>36</v>
      </c>
      <c r="R1671" t="str">
        <f t="shared" si="285"/>
        <v>Tarifs conventionnels assurance maladie</v>
      </c>
      <c r="U1671" t="str">
        <f>"240001214"</f>
        <v>240001214</v>
      </c>
    </row>
    <row r="1672" spans="1:21" x14ac:dyDescent="0.3">
      <c r="A1672" t="str">
        <f>"930027339"</f>
        <v>930027339</v>
      </c>
      <c r="D1672" t="str">
        <f>"CDS DENTAIRE LA COURNEUVE"</f>
        <v>CDS DENTAIRE LA COURNEUVE</v>
      </c>
      <c r="F1672" t="str">
        <f>"3 PLACE GEORGES BRAQUE"</f>
        <v>3 PLACE GEORGES BRAQUE</v>
      </c>
      <c r="H1672" t="str">
        <f>"93120"</f>
        <v>93120</v>
      </c>
      <c r="I1672" t="str">
        <f>"LA COURNEUVE"</f>
        <v>LA COURNEUVE</v>
      </c>
      <c r="L1672" s="1">
        <v>42766</v>
      </c>
      <c r="M1672" t="str">
        <f t="shared" si="286"/>
        <v>124</v>
      </c>
      <c r="N1672" t="str">
        <f t="shared" si="287"/>
        <v>Centre de Santé</v>
      </c>
      <c r="O1672" t="str">
        <f t="shared" ref="O1672:O1678" si="288">"60"</f>
        <v>60</v>
      </c>
      <c r="P1672" t="str">
        <f t="shared" ref="P1672:P1678" si="289">"Association Loi 1901 non Reconnue d'Utilité Publique"</f>
        <v>Association Loi 1901 non Reconnue d'Utilité Publique</v>
      </c>
      <c r="Q1672" t="str">
        <f t="shared" si="284"/>
        <v>36</v>
      </c>
      <c r="R1672" t="str">
        <f t="shared" si="285"/>
        <v>Tarifs conventionnels assurance maladie</v>
      </c>
      <c r="U1672" t="str">
        <f>"930027321"</f>
        <v>930027321</v>
      </c>
    </row>
    <row r="1673" spans="1:21" x14ac:dyDescent="0.3">
      <c r="A1673" t="str">
        <f>"920030616"</f>
        <v>920030616</v>
      </c>
      <c r="D1673" t="str">
        <f>"CDS MEDICO-DENTAIRE COLOMBES"</f>
        <v>CDS MEDICO-DENTAIRE COLOMBES</v>
      </c>
      <c r="F1673" t="str">
        <f>"1 RUE PIERRE EXPERT"</f>
        <v>1 RUE PIERRE EXPERT</v>
      </c>
      <c r="G1673" t="str">
        <f>"ZAC DE LA MARINE"</f>
        <v>ZAC DE LA MARINE</v>
      </c>
      <c r="H1673" t="str">
        <f>"92700"</f>
        <v>92700</v>
      </c>
      <c r="I1673" t="str">
        <f>"COLOMBES"</f>
        <v>COLOMBES</v>
      </c>
      <c r="L1673" s="1">
        <v>42754</v>
      </c>
      <c r="M1673" t="str">
        <f t="shared" si="286"/>
        <v>124</v>
      </c>
      <c r="N1673" t="str">
        <f t="shared" si="287"/>
        <v>Centre de Santé</v>
      </c>
      <c r="O1673" t="str">
        <f t="shared" si="288"/>
        <v>60</v>
      </c>
      <c r="P1673" t="str">
        <f t="shared" si="289"/>
        <v>Association Loi 1901 non Reconnue d'Utilité Publique</v>
      </c>
      <c r="Q1673" t="str">
        <f t="shared" si="284"/>
        <v>36</v>
      </c>
      <c r="R1673" t="str">
        <f t="shared" si="285"/>
        <v>Tarifs conventionnels assurance maladie</v>
      </c>
      <c r="U1673" t="str">
        <f>"920030608"</f>
        <v>920030608</v>
      </c>
    </row>
    <row r="1674" spans="1:21" x14ac:dyDescent="0.3">
      <c r="A1674" t="str">
        <f>"130045644"</f>
        <v>130045644</v>
      </c>
      <c r="B1674" t="str">
        <f>"817 945 454 00012"</f>
        <v>817 945 454 00012</v>
      </c>
      <c r="D1674" t="str">
        <f>"CDS DENTAIRE ODONTICA"</f>
        <v>CDS DENTAIRE ODONTICA</v>
      </c>
      <c r="F1674" t="str">
        <f>"58 RUE MARCEL PAGNOL"</f>
        <v>58 RUE MARCEL PAGNOL</v>
      </c>
      <c r="H1674" t="str">
        <f>"13130"</f>
        <v>13130</v>
      </c>
      <c r="I1674" t="str">
        <f>"BERRE L ETANG"</f>
        <v>BERRE L ETANG</v>
      </c>
      <c r="J1674" t="str">
        <f>"04 88 60 05 55 "</f>
        <v xml:space="preserve">04 88 60 05 55 </v>
      </c>
      <c r="L1674" s="1">
        <v>42744</v>
      </c>
      <c r="M1674" t="str">
        <f t="shared" si="286"/>
        <v>124</v>
      </c>
      <c r="N1674" t="str">
        <f t="shared" si="287"/>
        <v>Centre de Santé</v>
      </c>
      <c r="O1674" t="str">
        <f t="shared" si="288"/>
        <v>60</v>
      </c>
      <c r="P1674" t="str">
        <f t="shared" si="289"/>
        <v>Association Loi 1901 non Reconnue d'Utilité Publique</v>
      </c>
      <c r="Q1674" t="str">
        <f t="shared" si="284"/>
        <v>36</v>
      </c>
      <c r="R1674" t="str">
        <f t="shared" si="285"/>
        <v>Tarifs conventionnels assurance maladie</v>
      </c>
      <c r="U1674" t="str">
        <f>"130045636"</f>
        <v>130045636</v>
      </c>
    </row>
    <row r="1675" spans="1:21" x14ac:dyDescent="0.3">
      <c r="A1675" t="str">
        <f>"940023187"</f>
        <v>940023187</v>
      </c>
      <c r="B1675" t="str">
        <f>"909 835 597 00016"</f>
        <v>909 835 597 00016</v>
      </c>
      <c r="D1675" t="str">
        <f>"CDS SANTEA IDF"</f>
        <v>CDS SANTEA IDF</v>
      </c>
      <c r="F1675" t="str">
        <f>"60 AVENUE DIDEROT"</f>
        <v>60 AVENUE DIDEROT</v>
      </c>
      <c r="H1675" t="str">
        <f>"94100"</f>
        <v>94100</v>
      </c>
      <c r="I1675" t="str">
        <f>"ST MAUR DES FOSSES"</f>
        <v>ST MAUR DES FOSSES</v>
      </c>
      <c r="J1675" t="str">
        <f>"01 53 99 13 98 "</f>
        <v xml:space="preserve">01 53 99 13 98 </v>
      </c>
      <c r="L1675" s="1">
        <v>42741</v>
      </c>
      <c r="M1675" t="str">
        <f t="shared" si="286"/>
        <v>124</v>
      </c>
      <c r="N1675" t="str">
        <f t="shared" si="287"/>
        <v>Centre de Santé</v>
      </c>
      <c r="O1675" t="str">
        <f t="shared" si="288"/>
        <v>60</v>
      </c>
      <c r="P1675" t="str">
        <f t="shared" si="289"/>
        <v>Association Loi 1901 non Reconnue d'Utilité Publique</v>
      </c>
      <c r="Q1675" t="str">
        <f t="shared" si="284"/>
        <v>36</v>
      </c>
      <c r="R1675" t="str">
        <f t="shared" si="285"/>
        <v>Tarifs conventionnels assurance maladie</v>
      </c>
      <c r="U1675" t="str">
        <f>"940030281"</f>
        <v>940030281</v>
      </c>
    </row>
    <row r="1676" spans="1:21" x14ac:dyDescent="0.3">
      <c r="A1676" t="str">
        <f>"940023203"</f>
        <v>940023203</v>
      </c>
      <c r="D1676" t="str">
        <f>"CDS MEDICO DENTAIRE SAINT MAUR CRETEIL"</f>
        <v>CDS MEDICO DENTAIRE SAINT MAUR CRETEIL</v>
      </c>
      <c r="F1676" t="str">
        <f>"34 RUE DU PONT DE CRETEIL"</f>
        <v>34 RUE DU PONT DE CRETEIL</v>
      </c>
      <c r="H1676" t="str">
        <f>"94100"</f>
        <v>94100</v>
      </c>
      <c r="I1676" t="str">
        <f>"ST MAUR DES FOSSES"</f>
        <v>ST MAUR DES FOSSES</v>
      </c>
      <c r="L1676" s="1">
        <v>42741</v>
      </c>
      <c r="M1676" t="str">
        <f t="shared" si="286"/>
        <v>124</v>
      </c>
      <c r="N1676" t="str">
        <f t="shared" si="287"/>
        <v>Centre de Santé</v>
      </c>
      <c r="O1676" t="str">
        <f t="shared" si="288"/>
        <v>60</v>
      </c>
      <c r="P1676" t="str">
        <f t="shared" si="289"/>
        <v>Association Loi 1901 non Reconnue d'Utilité Publique</v>
      </c>
      <c r="Q1676" t="str">
        <f t="shared" si="284"/>
        <v>36</v>
      </c>
      <c r="R1676" t="str">
        <f t="shared" si="285"/>
        <v>Tarifs conventionnels assurance maladie</v>
      </c>
      <c r="U1676" t="str">
        <f>"940023195"</f>
        <v>940023195</v>
      </c>
    </row>
    <row r="1677" spans="1:21" x14ac:dyDescent="0.3">
      <c r="A1677" t="str">
        <f>"930027305"</f>
        <v>930027305</v>
      </c>
      <c r="D1677" t="str">
        <f>"CDS 20 PANTIN"</f>
        <v>CDS 20 PANTIN</v>
      </c>
      <c r="F1677" t="str">
        <f>"20 RUE DU PRE SAINT GERVAIS"</f>
        <v>20 RUE DU PRE SAINT GERVAIS</v>
      </c>
      <c r="H1677" t="str">
        <f>"93500"</f>
        <v>93500</v>
      </c>
      <c r="I1677" t="str">
        <f>"PANTIN"</f>
        <v>PANTIN</v>
      </c>
      <c r="J1677" t="str">
        <f>"01 48 13 85 92 "</f>
        <v xml:space="preserve">01 48 13 85 92 </v>
      </c>
      <c r="L1677" s="1">
        <v>42731</v>
      </c>
      <c r="M1677" t="str">
        <f t="shared" si="286"/>
        <v>124</v>
      </c>
      <c r="N1677" t="str">
        <f t="shared" si="287"/>
        <v>Centre de Santé</v>
      </c>
      <c r="O1677" t="str">
        <f t="shared" si="288"/>
        <v>60</v>
      </c>
      <c r="P1677" t="str">
        <f t="shared" si="289"/>
        <v>Association Loi 1901 non Reconnue d'Utilité Publique</v>
      </c>
      <c r="Q1677" t="str">
        <f t="shared" si="284"/>
        <v>36</v>
      </c>
      <c r="R1677" t="str">
        <f t="shared" si="285"/>
        <v>Tarifs conventionnels assurance maladie</v>
      </c>
      <c r="U1677" t="str">
        <f>"750059578"</f>
        <v>750059578</v>
      </c>
    </row>
    <row r="1678" spans="1:21" x14ac:dyDescent="0.3">
      <c r="A1678" t="str">
        <f>"930027156"</f>
        <v>930027156</v>
      </c>
      <c r="B1678" t="str">
        <f>"823 200 100 00019"</f>
        <v>823 200 100 00019</v>
      </c>
      <c r="D1678" t="str">
        <f>"CDS DENTAIRE DE LA LIBERATION"</f>
        <v>CDS DENTAIRE DE LA LIBERATION</v>
      </c>
      <c r="F1678" t="str">
        <f>"3 BOULEVARD DE L'EUROPE"</f>
        <v>3 BOULEVARD DE L'EUROPE</v>
      </c>
      <c r="H1678" t="str">
        <f>"93190"</f>
        <v>93190</v>
      </c>
      <c r="I1678" t="str">
        <f>"LIVRY GARGAN"</f>
        <v>LIVRY GARGAN</v>
      </c>
      <c r="J1678" t="str">
        <f>"01 43 51 67 68 "</f>
        <v xml:space="preserve">01 43 51 67 68 </v>
      </c>
      <c r="L1678" s="1">
        <v>42720</v>
      </c>
      <c r="M1678" t="str">
        <f t="shared" si="286"/>
        <v>124</v>
      </c>
      <c r="N1678" t="str">
        <f t="shared" si="287"/>
        <v>Centre de Santé</v>
      </c>
      <c r="O1678" t="str">
        <f t="shared" si="288"/>
        <v>60</v>
      </c>
      <c r="P1678" t="str">
        <f t="shared" si="289"/>
        <v>Association Loi 1901 non Reconnue d'Utilité Publique</v>
      </c>
      <c r="Q1678" t="str">
        <f t="shared" si="284"/>
        <v>36</v>
      </c>
      <c r="R1678" t="str">
        <f t="shared" si="285"/>
        <v>Tarifs conventionnels assurance maladie</v>
      </c>
      <c r="U1678" t="str">
        <f>"930027149"</f>
        <v>930027149</v>
      </c>
    </row>
    <row r="1679" spans="1:21" x14ac:dyDescent="0.3">
      <c r="A1679" t="str">
        <f>"050007848"</f>
        <v>050007848</v>
      </c>
      <c r="D1679" t="str">
        <f>"CDS MEDICAL DE MONETIER LES BAINS"</f>
        <v>CDS MEDICAL DE MONETIER LES BAINS</v>
      </c>
      <c r="F1679" t="str">
        <f>"PRE CHABERT"</f>
        <v>PRE CHABERT</v>
      </c>
      <c r="H1679" t="str">
        <f>"05220"</f>
        <v>05220</v>
      </c>
      <c r="I1679" t="str">
        <f>"LE MONETIER LES BAINS"</f>
        <v>LE MONETIER LES BAINS</v>
      </c>
      <c r="J1679" t="str">
        <f>"04 92 24 42 54 "</f>
        <v xml:space="preserve">04 92 24 42 54 </v>
      </c>
      <c r="L1679" s="1">
        <v>42719</v>
      </c>
      <c r="M1679" t="str">
        <f t="shared" si="286"/>
        <v>124</v>
      </c>
      <c r="N1679" t="str">
        <f t="shared" si="287"/>
        <v>Centre de Santé</v>
      </c>
      <c r="O1679" t="str">
        <f>"63"</f>
        <v>63</v>
      </c>
      <c r="P1679" t="str">
        <f>"Fondation"</f>
        <v>Fondation</v>
      </c>
      <c r="Q1679" t="str">
        <f t="shared" si="284"/>
        <v>36</v>
      </c>
      <c r="R1679" t="str">
        <f t="shared" si="285"/>
        <v>Tarifs conventionnels assurance maladie</v>
      </c>
      <c r="U1679" t="str">
        <f>"050000546"</f>
        <v>050000546</v>
      </c>
    </row>
    <row r="1680" spans="1:21" x14ac:dyDescent="0.3">
      <c r="A1680" t="str">
        <f>"050007855"</f>
        <v>050007855</v>
      </c>
      <c r="D1680" t="str">
        <f>"CDS MEDICAL DE CHANTEMERLE"</f>
        <v>CDS MEDICAL DE CHANTEMERLE</v>
      </c>
      <c r="F1680" t="str">
        <f>"LE SERRE D'AIGLE"</f>
        <v>LE SERRE D'AIGLE</v>
      </c>
      <c r="G1680" t="str">
        <f>"CHANTEMERLE"</f>
        <v>CHANTEMERLE</v>
      </c>
      <c r="H1680" t="str">
        <f>"05330"</f>
        <v>05330</v>
      </c>
      <c r="I1680" t="str">
        <f>"ST CHAFFREY"</f>
        <v>ST CHAFFREY</v>
      </c>
      <c r="J1680" t="str">
        <f>"04 92 54 62 99 "</f>
        <v xml:space="preserve">04 92 54 62 99 </v>
      </c>
      <c r="L1680" s="1">
        <v>42719</v>
      </c>
      <c r="M1680" t="str">
        <f t="shared" si="286"/>
        <v>124</v>
      </c>
      <c r="N1680" t="str">
        <f t="shared" si="287"/>
        <v>Centre de Santé</v>
      </c>
      <c r="O1680" t="str">
        <f>"63"</f>
        <v>63</v>
      </c>
      <c r="P1680" t="str">
        <f>"Fondation"</f>
        <v>Fondation</v>
      </c>
      <c r="Q1680" t="str">
        <f t="shared" si="284"/>
        <v>36</v>
      </c>
      <c r="R1680" t="str">
        <f t="shared" si="285"/>
        <v>Tarifs conventionnels assurance maladie</v>
      </c>
      <c r="U1680" t="str">
        <f>"050000546"</f>
        <v>050000546</v>
      </c>
    </row>
    <row r="1681" spans="1:21" x14ac:dyDescent="0.3">
      <c r="A1681" t="str">
        <f>"710015272"</f>
        <v>710015272</v>
      </c>
      <c r="B1681" t="str">
        <f>"821 116 894 00014"</f>
        <v>821 116 894 00014</v>
      </c>
      <c r="D1681" t="str">
        <f>"CENTRE DE SANTE DENTAIRE DE CHALON"</f>
        <v>CENTRE DE SANTE DENTAIRE DE CHALON</v>
      </c>
      <c r="F1681" t="str">
        <f>"5 RUE DU CAPITAINE DRILLIEN"</f>
        <v>5 RUE DU CAPITAINE DRILLIEN</v>
      </c>
      <c r="H1681" t="str">
        <f>"71100"</f>
        <v>71100</v>
      </c>
      <c r="I1681" t="str">
        <f>"CHALON SUR SAONE"</f>
        <v>CHALON SUR SAONE</v>
      </c>
      <c r="J1681" t="str">
        <f>"03 85 42 41 40 "</f>
        <v xml:space="preserve">03 85 42 41 40 </v>
      </c>
      <c r="L1681" s="1">
        <v>42719</v>
      </c>
      <c r="M1681" t="str">
        <f t="shared" si="286"/>
        <v>124</v>
      </c>
      <c r="N1681" t="str">
        <f t="shared" si="287"/>
        <v>Centre de Santé</v>
      </c>
      <c r="O1681" t="str">
        <f>"60"</f>
        <v>60</v>
      </c>
      <c r="P1681" t="str">
        <f>"Association Loi 1901 non Reconnue d'Utilité Publique"</f>
        <v>Association Loi 1901 non Reconnue d'Utilité Publique</v>
      </c>
      <c r="Q1681" t="str">
        <f t="shared" si="284"/>
        <v>36</v>
      </c>
      <c r="R1681" t="str">
        <f t="shared" si="285"/>
        <v>Tarifs conventionnels assurance maladie</v>
      </c>
      <c r="U1681" t="str">
        <f>"710015264"</f>
        <v>710015264</v>
      </c>
    </row>
    <row r="1682" spans="1:21" x14ac:dyDescent="0.3">
      <c r="A1682" t="str">
        <f>"930027065"</f>
        <v>930027065</v>
      </c>
      <c r="D1682" t="str">
        <f>"CDS DENTAIRE DE ROSNY SOUS BOIS"</f>
        <v>CDS DENTAIRE DE ROSNY SOUS BOIS</v>
      </c>
      <c r="F1682" t="str">
        <f>"9 PLACE CARNOT"</f>
        <v>9 PLACE CARNOT</v>
      </c>
      <c r="H1682" t="str">
        <f>"93110"</f>
        <v>93110</v>
      </c>
      <c r="I1682" t="str">
        <f>"ROSNY SOUS BOIS"</f>
        <v>ROSNY SOUS BOIS</v>
      </c>
      <c r="L1682" s="1">
        <v>42706</v>
      </c>
      <c r="M1682" t="str">
        <f t="shared" si="286"/>
        <v>124</v>
      </c>
      <c r="N1682" t="str">
        <f t="shared" si="287"/>
        <v>Centre de Santé</v>
      </c>
      <c r="O1682" t="str">
        <f>"60"</f>
        <v>60</v>
      </c>
      <c r="P1682" t="str">
        <f>"Association Loi 1901 non Reconnue d'Utilité Publique"</f>
        <v>Association Loi 1901 non Reconnue d'Utilité Publique</v>
      </c>
      <c r="Q1682" t="str">
        <f t="shared" si="284"/>
        <v>36</v>
      </c>
      <c r="R1682" t="str">
        <f t="shared" si="285"/>
        <v>Tarifs conventionnels assurance maladie</v>
      </c>
      <c r="U1682" t="str">
        <f>"930027057"</f>
        <v>930027057</v>
      </c>
    </row>
    <row r="1683" spans="1:21" x14ac:dyDescent="0.3">
      <c r="A1683" t="str">
        <f>"340023357"</f>
        <v>340023357</v>
      </c>
      <c r="B1683" t="str">
        <f>"394 862 072 00011"</f>
        <v>394 862 072 00011</v>
      </c>
      <c r="D1683" t="str">
        <f>"CDS POLYVALENT ASB"</f>
        <v>CDS POLYVALENT ASB</v>
      </c>
      <c r="F1683" t="str">
        <f>"26 AVENUE GAMBETTA"</f>
        <v>26 AVENUE GAMBETTA</v>
      </c>
      <c r="H1683" t="str">
        <f>"34500"</f>
        <v>34500</v>
      </c>
      <c r="I1683" t="str">
        <f>"BEZIERS"</f>
        <v>BEZIERS</v>
      </c>
      <c r="J1683" t="str">
        <f>"04 67 28 51 51 "</f>
        <v xml:space="preserve">04 67 28 51 51 </v>
      </c>
      <c r="L1683" s="1">
        <v>42705</v>
      </c>
      <c r="M1683" t="str">
        <f t="shared" si="286"/>
        <v>124</v>
      </c>
      <c r="N1683" t="str">
        <f t="shared" si="287"/>
        <v>Centre de Santé</v>
      </c>
      <c r="O1683" t="str">
        <f>"60"</f>
        <v>60</v>
      </c>
      <c r="P1683" t="str">
        <f>"Association Loi 1901 non Reconnue d'Utilité Publique"</f>
        <v>Association Loi 1901 non Reconnue d'Utilité Publique</v>
      </c>
      <c r="Q1683" t="str">
        <f t="shared" si="284"/>
        <v>36</v>
      </c>
      <c r="R1683" t="str">
        <f t="shared" si="285"/>
        <v>Tarifs conventionnels assurance maladie</v>
      </c>
      <c r="U1683" t="str">
        <f>"340023340"</f>
        <v>340023340</v>
      </c>
    </row>
    <row r="1684" spans="1:21" x14ac:dyDescent="0.3">
      <c r="A1684" t="str">
        <f>"590782132"</f>
        <v>590782132</v>
      </c>
      <c r="B1684" t="str">
        <f>"783 712 045 01003"</f>
        <v>783 712 045 01003</v>
      </c>
      <c r="D1684" t="str">
        <f>"CSD CONDÉ SUR L'ESCAUT"</f>
        <v>CSD CONDÉ SUR L'ESCAUT</v>
      </c>
      <c r="F1684" t="str">
        <f>"2 PLACE ROMBAULT"</f>
        <v>2 PLACE ROMBAULT</v>
      </c>
      <c r="H1684" t="str">
        <f>"59163"</f>
        <v>59163</v>
      </c>
      <c r="I1684" t="str">
        <f>"CONDE SUR L ESCAUT"</f>
        <v>CONDE SUR L ESCAUT</v>
      </c>
      <c r="J1684" t="str">
        <f>"03 27 40 66 49 "</f>
        <v xml:space="preserve">03 27 40 66 49 </v>
      </c>
      <c r="L1684" s="1">
        <v>42705</v>
      </c>
      <c r="M1684" t="str">
        <f t="shared" si="286"/>
        <v>124</v>
      </c>
      <c r="N1684" t="str">
        <f t="shared" si="287"/>
        <v>Centre de Santé</v>
      </c>
      <c r="O1684" t="str">
        <f>"47"</f>
        <v>47</v>
      </c>
      <c r="P1684" t="str">
        <f>"Société Mutualiste"</f>
        <v>Société Mutualiste</v>
      </c>
      <c r="Q1684" t="str">
        <f t="shared" si="284"/>
        <v>36</v>
      </c>
      <c r="R1684" t="str">
        <f t="shared" si="285"/>
        <v>Tarifs conventionnels assurance maladie</v>
      </c>
      <c r="U1684" t="str">
        <f>"590024469"</f>
        <v>590024469</v>
      </c>
    </row>
    <row r="1685" spans="1:21" x14ac:dyDescent="0.3">
      <c r="A1685" t="str">
        <f>"590782157"</f>
        <v>590782157</v>
      </c>
      <c r="B1685" t="str">
        <f>"783 712 045 01078"</f>
        <v>783 712 045 01078</v>
      </c>
      <c r="D1685" t="str">
        <f>"CSD VALENCIENNES"</f>
        <v>CSD VALENCIENNES</v>
      </c>
      <c r="F1685" t="str">
        <f>"183 AVENUE DESANDROUINS"</f>
        <v>183 AVENUE DESANDROUINS</v>
      </c>
      <c r="H1685" t="str">
        <f>"59300"</f>
        <v>59300</v>
      </c>
      <c r="I1685" t="str">
        <f>"VALENCIENNES"</f>
        <v>VALENCIENNES</v>
      </c>
      <c r="J1685" t="str">
        <f>"03 27 22 82 02 "</f>
        <v xml:space="preserve">03 27 22 82 02 </v>
      </c>
      <c r="L1685" s="1">
        <v>42705</v>
      </c>
      <c r="M1685" t="str">
        <f t="shared" si="286"/>
        <v>124</v>
      </c>
      <c r="N1685" t="str">
        <f t="shared" si="287"/>
        <v>Centre de Santé</v>
      </c>
      <c r="O1685" t="str">
        <f>"47"</f>
        <v>47</v>
      </c>
      <c r="P1685" t="str">
        <f>"Société Mutualiste"</f>
        <v>Société Mutualiste</v>
      </c>
      <c r="Q1685" t="str">
        <f t="shared" ref="Q1685:Q1716" si="290">"36"</f>
        <v>36</v>
      </c>
      <c r="R1685" t="str">
        <f t="shared" ref="R1685:R1716" si="291">"Tarifs conventionnels assurance maladie"</f>
        <v>Tarifs conventionnels assurance maladie</v>
      </c>
      <c r="U1685" t="str">
        <f>"590024469"</f>
        <v>590024469</v>
      </c>
    </row>
    <row r="1686" spans="1:21" x14ac:dyDescent="0.3">
      <c r="A1686" t="str">
        <f>"590782371"</f>
        <v>590782371</v>
      </c>
      <c r="B1686" t="str">
        <f>"783 712 045 01011"</f>
        <v>783 712 045 01011</v>
      </c>
      <c r="D1686" t="str">
        <f>"CSD DENAIN"</f>
        <v>CSD DENAIN</v>
      </c>
      <c r="F1686" t="str">
        <f>"109 RUE DE VILLARS"</f>
        <v>109 RUE DE VILLARS</v>
      </c>
      <c r="H1686" t="str">
        <f>"59220"</f>
        <v>59220</v>
      </c>
      <c r="I1686" t="str">
        <f>"DENAIN"</f>
        <v>DENAIN</v>
      </c>
      <c r="J1686" t="str">
        <f>"03 27 09 16 24 "</f>
        <v xml:space="preserve">03 27 09 16 24 </v>
      </c>
      <c r="L1686" s="1">
        <v>42705</v>
      </c>
      <c r="M1686" t="str">
        <f t="shared" si="286"/>
        <v>124</v>
      </c>
      <c r="N1686" t="str">
        <f t="shared" si="287"/>
        <v>Centre de Santé</v>
      </c>
      <c r="O1686" t="str">
        <f>"47"</f>
        <v>47</v>
      </c>
      <c r="P1686" t="str">
        <f>"Société Mutualiste"</f>
        <v>Société Mutualiste</v>
      </c>
      <c r="Q1686" t="str">
        <f t="shared" si="290"/>
        <v>36</v>
      </c>
      <c r="R1686" t="str">
        <f t="shared" si="291"/>
        <v>Tarifs conventionnels assurance maladie</v>
      </c>
      <c r="U1686" t="str">
        <f>"590024469"</f>
        <v>590024469</v>
      </c>
    </row>
    <row r="1687" spans="1:21" x14ac:dyDescent="0.3">
      <c r="A1687" t="str">
        <f>"720020700"</f>
        <v>720020700</v>
      </c>
      <c r="B1687" t="str">
        <f>"200 072 692 00151"</f>
        <v>200 072 692 00151</v>
      </c>
      <c r="D1687" t="str">
        <f>"CIS MÉDICAL DU PAYS CALAISIEN"</f>
        <v>CIS MÉDICAL DU PAYS CALAISIEN</v>
      </c>
      <c r="F1687" t="str">
        <f>"5 AVENUE DU GENERAL DE GAULLE"</f>
        <v>5 AVENUE DU GENERAL DE GAULLE</v>
      </c>
      <c r="H1687" t="str">
        <f>"72120"</f>
        <v>72120</v>
      </c>
      <c r="I1687" t="str">
        <f>"ST CALAIS"</f>
        <v>ST CALAIS</v>
      </c>
      <c r="J1687" t="str">
        <f>"02 43 63 13 93 "</f>
        <v xml:space="preserve">02 43 63 13 93 </v>
      </c>
      <c r="K1687" t="str">
        <f>"02 43 63 13 94"</f>
        <v>02 43 63 13 94</v>
      </c>
      <c r="L1687" s="1">
        <v>42705</v>
      </c>
      <c r="M1687" t="str">
        <f t="shared" si="286"/>
        <v>124</v>
      </c>
      <c r="N1687" t="str">
        <f t="shared" si="287"/>
        <v>Centre de Santé</v>
      </c>
      <c r="O1687" t="str">
        <f>"03"</f>
        <v>03</v>
      </c>
      <c r="P1687" t="str">
        <f>"Commune"</f>
        <v>Commune</v>
      </c>
      <c r="Q1687" t="str">
        <f t="shared" si="290"/>
        <v>36</v>
      </c>
      <c r="R1687" t="str">
        <f t="shared" si="291"/>
        <v>Tarifs conventionnels assurance maladie</v>
      </c>
      <c r="U1687" t="str">
        <f>"720020692"</f>
        <v>720020692</v>
      </c>
    </row>
    <row r="1688" spans="1:21" x14ac:dyDescent="0.3">
      <c r="A1688" t="str">
        <f>"730012374"</f>
        <v>730012374</v>
      </c>
      <c r="B1688" t="str">
        <f>"823 817 655 00017"</f>
        <v>823 817 655 00017</v>
      </c>
      <c r="D1688" t="str">
        <f>"CENTRE MEDICAL DU PELVOUX"</f>
        <v>CENTRE MEDICAL DU PELVOUX</v>
      </c>
      <c r="F1688" t="str">
        <f>"169 RUE DES FLOCONS"</f>
        <v>169 RUE DES FLOCONS</v>
      </c>
      <c r="H1688" t="str">
        <f>"73440"</f>
        <v>73440</v>
      </c>
      <c r="I1688" t="str">
        <f>"LES BELLEVILLE"</f>
        <v>LES BELLEVILLE</v>
      </c>
      <c r="J1688" t="str">
        <f>"04 79 00 00 35 "</f>
        <v xml:space="preserve">04 79 00 00 35 </v>
      </c>
      <c r="L1688" s="1">
        <v>42705</v>
      </c>
      <c r="M1688" t="str">
        <f t="shared" si="286"/>
        <v>124</v>
      </c>
      <c r="N1688" t="str">
        <f t="shared" si="287"/>
        <v>Centre de Santé</v>
      </c>
      <c r="O1688" t="str">
        <f>"61"</f>
        <v>61</v>
      </c>
      <c r="P1688" t="str">
        <f>"Association Loi 1901 Reconnue d'Utilité Publique"</f>
        <v>Association Loi 1901 Reconnue d'Utilité Publique</v>
      </c>
      <c r="Q1688" t="str">
        <f t="shared" si="290"/>
        <v>36</v>
      </c>
      <c r="R1688" t="str">
        <f t="shared" si="291"/>
        <v>Tarifs conventionnels assurance maladie</v>
      </c>
      <c r="U1688" t="str">
        <f>"730012366"</f>
        <v>730012366</v>
      </c>
    </row>
    <row r="1689" spans="1:21" x14ac:dyDescent="0.3">
      <c r="A1689" t="str">
        <f>"910022045"</f>
        <v>910022045</v>
      </c>
      <c r="B1689" t="str">
        <f>"311 210 058 00104"</f>
        <v>311 210 058 00104</v>
      </c>
      <c r="D1689" t="str">
        <f>"CDS LA MARTINIERE"</f>
        <v>CDS LA MARTINIERE</v>
      </c>
      <c r="E1689" t="str">
        <f>"ETS DE SANTE LA MARTINIERE"</f>
        <v>ETS DE SANTE LA MARTINIERE</v>
      </c>
      <c r="F1689" t="str">
        <f>"CHEMIN DE LA MARTINIERE"</f>
        <v>CHEMIN DE LA MARTINIERE</v>
      </c>
      <c r="H1689" t="str">
        <f>"91400"</f>
        <v>91400</v>
      </c>
      <c r="I1689" t="str">
        <f>"SACLAY"</f>
        <v>SACLAY</v>
      </c>
      <c r="J1689" t="str">
        <f>"01 69 33 67 67 "</f>
        <v xml:space="preserve">01 69 33 67 67 </v>
      </c>
      <c r="K1689" t="str">
        <f>"01 69 33 67 03"</f>
        <v>01 69 33 67 03</v>
      </c>
      <c r="L1689" s="1">
        <v>42678</v>
      </c>
      <c r="M1689" t="str">
        <f t="shared" si="286"/>
        <v>124</v>
      </c>
      <c r="N1689" t="str">
        <f t="shared" si="287"/>
        <v>Centre de Santé</v>
      </c>
      <c r="O1689" t="str">
        <f>"60"</f>
        <v>60</v>
      </c>
      <c r="P1689" t="str">
        <f>"Association Loi 1901 non Reconnue d'Utilité Publique"</f>
        <v>Association Loi 1901 non Reconnue d'Utilité Publique</v>
      </c>
      <c r="Q1689" t="str">
        <f t="shared" si="290"/>
        <v>36</v>
      </c>
      <c r="R1689" t="str">
        <f t="shared" si="291"/>
        <v>Tarifs conventionnels assurance maladie</v>
      </c>
      <c r="U1689" t="str">
        <f>"830013678"</f>
        <v>830013678</v>
      </c>
    </row>
    <row r="1690" spans="1:21" x14ac:dyDescent="0.3">
      <c r="A1690" t="str">
        <f>"360008221"</f>
        <v>360008221</v>
      </c>
      <c r="B1690" t="str">
        <f>"213 600 349 00111"</f>
        <v>213 600 349 00111</v>
      </c>
      <c r="D1690" t="str">
        <f>"CENTRE DE SANTE DE CHABRIS"</f>
        <v>CENTRE DE SANTE DE CHABRIS</v>
      </c>
      <c r="F1690" t="str">
        <f>"7 RUE DE LA REPUBLIQUE"</f>
        <v>7 RUE DE LA REPUBLIQUE</v>
      </c>
      <c r="H1690" t="str">
        <f>"36210"</f>
        <v>36210</v>
      </c>
      <c r="I1690" t="str">
        <f>"CHABRIS"</f>
        <v>CHABRIS</v>
      </c>
      <c r="J1690" t="str">
        <f>"02 54 40 09 21 "</f>
        <v xml:space="preserve">02 54 40 09 21 </v>
      </c>
      <c r="L1690" s="1">
        <v>42667</v>
      </c>
      <c r="M1690" t="str">
        <f t="shared" si="286"/>
        <v>124</v>
      </c>
      <c r="N1690" t="str">
        <f t="shared" si="287"/>
        <v>Centre de Santé</v>
      </c>
      <c r="O1690" t="str">
        <f>"03"</f>
        <v>03</v>
      </c>
      <c r="P1690" t="str">
        <f>"Commune"</f>
        <v>Commune</v>
      </c>
      <c r="Q1690" t="str">
        <f t="shared" si="290"/>
        <v>36</v>
      </c>
      <c r="R1690" t="str">
        <f t="shared" si="291"/>
        <v>Tarifs conventionnels assurance maladie</v>
      </c>
      <c r="U1690" t="str">
        <f>"360005631"</f>
        <v>360005631</v>
      </c>
    </row>
    <row r="1691" spans="1:21" x14ac:dyDescent="0.3">
      <c r="A1691" t="str">
        <f>"400014080"</f>
        <v>400014080</v>
      </c>
      <c r="D1691" t="str">
        <f>"CENTRE DE SANTE VISUELLE MUTUALISTE"</f>
        <v>CENTRE DE SANTE VISUELLE MUTUALISTE</v>
      </c>
      <c r="F1691" t="str">
        <f>"14 RUE DU PONT DU COMMERCE"</f>
        <v>14 RUE DU PONT DU COMMERCE</v>
      </c>
      <c r="H1691" t="str">
        <f>"40000"</f>
        <v>40000</v>
      </c>
      <c r="I1691" t="str">
        <f>"MONT DE MARSAN"</f>
        <v>MONT DE MARSAN</v>
      </c>
      <c r="J1691" t="str">
        <f>"05 58 51 36 05 "</f>
        <v xml:space="preserve">05 58 51 36 05 </v>
      </c>
      <c r="L1691" s="1">
        <v>42661</v>
      </c>
      <c r="M1691" t="str">
        <f t="shared" si="286"/>
        <v>124</v>
      </c>
      <c r="N1691" t="str">
        <f t="shared" si="287"/>
        <v>Centre de Santé</v>
      </c>
      <c r="O1691" t="str">
        <f>"47"</f>
        <v>47</v>
      </c>
      <c r="P1691" t="str">
        <f>"Société Mutualiste"</f>
        <v>Société Mutualiste</v>
      </c>
      <c r="Q1691" t="str">
        <f t="shared" si="290"/>
        <v>36</v>
      </c>
      <c r="R1691" t="str">
        <f t="shared" si="291"/>
        <v>Tarifs conventionnels assurance maladie</v>
      </c>
      <c r="U1691" t="str">
        <f>"400011300"</f>
        <v>400011300</v>
      </c>
    </row>
    <row r="1692" spans="1:21" x14ac:dyDescent="0.3">
      <c r="A1692" t="str">
        <f>"940023005"</f>
        <v>940023005</v>
      </c>
      <c r="D1692" t="str">
        <f>"CDS MEDICO DENTAIRE CHAMPIGNY"</f>
        <v>CDS MEDICO DENTAIRE CHAMPIGNY</v>
      </c>
      <c r="F1692" t="str">
        <f>"95 AVENUE DE LA REPUBLIQUE"</f>
        <v>95 AVENUE DE LA REPUBLIQUE</v>
      </c>
      <c r="G1692" t="str">
        <f>"CENTRE COMMERCIAL REPUBLIC 2000"</f>
        <v>CENTRE COMMERCIAL REPUBLIC 2000</v>
      </c>
      <c r="H1692" t="str">
        <f>"94500"</f>
        <v>94500</v>
      </c>
      <c r="I1692" t="str">
        <f>"CHAMPIGNY SUR MARNE"</f>
        <v>CHAMPIGNY SUR MARNE</v>
      </c>
      <c r="L1692" s="1">
        <v>42661</v>
      </c>
      <c r="M1692" t="str">
        <f t="shared" si="286"/>
        <v>124</v>
      </c>
      <c r="N1692" t="str">
        <f t="shared" si="287"/>
        <v>Centre de Santé</v>
      </c>
      <c r="O1692" t="str">
        <f>"60"</f>
        <v>60</v>
      </c>
      <c r="P1692" t="str">
        <f>"Association Loi 1901 non Reconnue d'Utilité Publique"</f>
        <v>Association Loi 1901 non Reconnue d'Utilité Publique</v>
      </c>
      <c r="Q1692" t="str">
        <f t="shared" si="290"/>
        <v>36</v>
      </c>
      <c r="R1692" t="str">
        <f t="shared" si="291"/>
        <v>Tarifs conventionnels assurance maladie</v>
      </c>
      <c r="U1692" t="str">
        <f>"940022999"</f>
        <v>940022999</v>
      </c>
    </row>
    <row r="1693" spans="1:21" x14ac:dyDescent="0.3">
      <c r="A1693" t="str">
        <f>"130045701"</f>
        <v>130045701</v>
      </c>
      <c r="B1693" t="str">
        <f>"821 104 031 00017"</f>
        <v>821 104 031 00017</v>
      </c>
      <c r="D1693" t="str">
        <f>"CSD SAINTE ANNE DENTAIRE"</f>
        <v>CSD SAINTE ANNE DENTAIRE</v>
      </c>
      <c r="F1693" t="str">
        <f>"523 AVENUE DE MAZARGUES"</f>
        <v>523 AVENUE DE MAZARGUES</v>
      </c>
      <c r="H1693" t="str">
        <f>"13008"</f>
        <v>13008</v>
      </c>
      <c r="I1693" t="str">
        <f>"MARSEILLE"</f>
        <v>MARSEILLE</v>
      </c>
      <c r="J1693" t="str">
        <f>"04 91 77 23 00 "</f>
        <v xml:space="preserve">04 91 77 23 00 </v>
      </c>
      <c r="L1693" s="1">
        <v>42660</v>
      </c>
      <c r="M1693" t="str">
        <f t="shared" si="286"/>
        <v>124</v>
      </c>
      <c r="N1693" t="str">
        <f t="shared" si="287"/>
        <v>Centre de Santé</v>
      </c>
      <c r="O1693" t="str">
        <f>"60"</f>
        <v>60</v>
      </c>
      <c r="P1693" t="str">
        <f>"Association Loi 1901 non Reconnue d'Utilité Publique"</f>
        <v>Association Loi 1901 non Reconnue d'Utilité Publique</v>
      </c>
      <c r="Q1693" t="str">
        <f t="shared" si="290"/>
        <v>36</v>
      </c>
      <c r="R1693" t="str">
        <f t="shared" si="291"/>
        <v>Tarifs conventionnels assurance maladie</v>
      </c>
      <c r="U1693" t="str">
        <f>"130045693"</f>
        <v>130045693</v>
      </c>
    </row>
    <row r="1694" spans="1:21" x14ac:dyDescent="0.3">
      <c r="A1694" t="str">
        <f>"100007301"</f>
        <v>100007301</v>
      </c>
      <c r="B1694" t="str">
        <f>"780 327 987 00027"</f>
        <v>780 327 987 00027</v>
      </c>
      <c r="D1694" t="str">
        <f>"ESPACE SANTE SOMUCO"</f>
        <v>ESPACE SANTE SOMUCO</v>
      </c>
      <c r="F1694" t="str">
        <f>"49 RUE CARNOT"</f>
        <v>49 RUE CARNOT</v>
      </c>
      <c r="H1694" t="str">
        <f>"10100"</f>
        <v>10100</v>
      </c>
      <c r="I1694" t="str">
        <f>"ROMILLY SUR SEINE"</f>
        <v>ROMILLY SUR SEINE</v>
      </c>
      <c r="J1694" t="str">
        <f>"03 25 39 56 40 "</f>
        <v xml:space="preserve">03 25 39 56 40 </v>
      </c>
      <c r="L1694" s="1">
        <v>42657</v>
      </c>
      <c r="M1694" t="str">
        <f t="shared" si="286"/>
        <v>124</v>
      </c>
      <c r="N1694" t="str">
        <f t="shared" si="287"/>
        <v>Centre de Santé</v>
      </c>
      <c r="O1694" t="str">
        <f>"47"</f>
        <v>47</v>
      </c>
      <c r="P1694" t="str">
        <f>"Société Mutualiste"</f>
        <v>Société Mutualiste</v>
      </c>
      <c r="Q1694" t="str">
        <f t="shared" si="290"/>
        <v>36</v>
      </c>
      <c r="R1694" t="str">
        <f t="shared" si="291"/>
        <v>Tarifs conventionnels assurance maladie</v>
      </c>
      <c r="U1694" t="str">
        <f>"100007293"</f>
        <v>100007293</v>
      </c>
    </row>
    <row r="1695" spans="1:21" x14ac:dyDescent="0.3">
      <c r="A1695" t="str">
        <f>"130045669"</f>
        <v>130045669</v>
      </c>
      <c r="B1695" t="str">
        <f>"820 372 936 00014"</f>
        <v>820 372 936 00014</v>
      </c>
      <c r="D1695" t="str">
        <f>"CENTRE DE SANTÉ DENTAIRE BELSUNCE"</f>
        <v>CENTRE DE SANTÉ DENTAIRE BELSUNCE</v>
      </c>
      <c r="F1695" t="str">
        <f>"6 RUE BIR HAKEÏM"</f>
        <v>6 RUE BIR HAKEÏM</v>
      </c>
      <c r="H1695" t="str">
        <f>"13001"</f>
        <v>13001</v>
      </c>
      <c r="I1695" t="str">
        <f>"MARSEILLE"</f>
        <v>MARSEILLE</v>
      </c>
      <c r="J1695" t="str">
        <f>"04 91 89 42 56 "</f>
        <v xml:space="preserve">04 91 89 42 56 </v>
      </c>
      <c r="L1695" s="1">
        <v>42657</v>
      </c>
      <c r="M1695" t="str">
        <f t="shared" si="286"/>
        <v>124</v>
      </c>
      <c r="N1695" t="str">
        <f t="shared" si="287"/>
        <v>Centre de Santé</v>
      </c>
      <c r="O1695" t="str">
        <f>"60"</f>
        <v>60</v>
      </c>
      <c r="P1695" t="str">
        <f>"Association Loi 1901 non Reconnue d'Utilité Publique"</f>
        <v>Association Loi 1901 non Reconnue d'Utilité Publique</v>
      </c>
      <c r="Q1695" t="str">
        <f t="shared" si="290"/>
        <v>36</v>
      </c>
      <c r="R1695" t="str">
        <f t="shared" si="291"/>
        <v>Tarifs conventionnels assurance maladie</v>
      </c>
      <c r="U1695" t="str">
        <f>"130045651"</f>
        <v>130045651</v>
      </c>
    </row>
    <row r="1696" spans="1:21" x14ac:dyDescent="0.3">
      <c r="A1696" t="str">
        <f>"130045628"</f>
        <v>130045628</v>
      </c>
      <c r="B1696" t="str">
        <f>"352 098 131 00852"</f>
        <v>352 098 131 00852</v>
      </c>
      <c r="D1696" t="str">
        <f>"CDS AIX PONT DE L'ARC"</f>
        <v>CDS AIX PONT DE L'ARC</v>
      </c>
      <c r="F1696" t="str">
        <f>"14 RUE DE LA FOURANE"</f>
        <v>14 RUE DE LA FOURANE</v>
      </c>
      <c r="H1696" t="str">
        <f>"13090"</f>
        <v>13090</v>
      </c>
      <c r="I1696" t="str">
        <f>"AIX EN PROVENCE"</f>
        <v>AIX EN PROVENCE</v>
      </c>
      <c r="J1696" t="str">
        <f>"04 42 38 68 08 "</f>
        <v xml:space="preserve">04 42 38 68 08 </v>
      </c>
      <c r="L1696" s="1">
        <v>42655</v>
      </c>
      <c r="M1696" t="str">
        <f t="shared" si="286"/>
        <v>124</v>
      </c>
      <c r="N1696" t="str">
        <f t="shared" si="287"/>
        <v>Centre de Santé</v>
      </c>
      <c r="O1696" t="str">
        <f>"47"</f>
        <v>47</v>
      </c>
      <c r="P1696" t="str">
        <f>"Société Mutualiste"</f>
        <v>Société Mutualiste</v>
      </c>
      <c r="Q1696" t="str">
        <f t="shared" si="290"/>
        <v>36</v>
      </c>
      <c r="R1696" t="str">
        <f t="shared" si="291"/>
        <v>Tarifs conventionnels assurance maladie</v>
      </c>
      <c r="U1696" t="str">
        <f>"130007032"</f>
        <v>130007032</v>
      </c>
    </row>
    <row r="1697" spans="1:21" x14ac:dyDescent="0.3">
      <c r="A1697" t="str">
        <f>"750059057"</f>
        <v>750059057</v>
      </c>
      <c r="D1697" t="str">
        <f>"CDS DENTAIRE MONTPARNASSE"</f>
        <v>CDS DENTAIRE MONTPARNASSE</v>
      </c>
      <c r="F1697" t="str">
        <f>"30 BOULEVARD VAUGIRARD"</f>
        <v>30 BOULEVARD VAUGIRARD</v>
      </c>
      <c r="H1697" t="str">
        <f>"75015"</f>
        <v>75015</v>
      </c>
      <c r="I1697" t="str">
        <f>"PARIS"</f>
        <v>PARIS</v>
      </c>
      <c r="L1697" s="1">
        <v>42655</v>
      </c>
      <c r="M1697" t="str">
        <f t="shared" si="286"/>
        <v>124</v>
      </c>
      <c r="N1697" t="str">
        <f t="shared" si="287"/>
        <v>Centre de Santé</v>
      </c>
      <c r="O1697" t="str">
        <f>"60"</f>
        <v>60</v>
      </c>
      <c r="P1697" t="str">
        <f>"Association Loi 1901 non Reconnue d'Utilité Publique"</f>
        <v>Association Loi 1901 non Reconnue d'Utilité Publique</v>
      </c>
      <c r="Q1697" t="str">
        <f t="shared" si="290"/>
        <v>36</v>
      </c>
      <c r="R1697" t="str">
        <f t="shared" si="291"/>
        <v>Tarifs conventionnels assurance maladie</v>
      </c>
      <c r="U1697" t="str">
        <f>"920030327"</f>
        <v>920030327</v>
      </c>
    </row>
    <row r="1698" spans="1:21" x14ac:dyDescent="0.3">
      <c r="A1698" t="str">
        <f>"750059016"</f>
        <v>750059016</v>
      </c>
      <c r="D1698" t="str">
        <f>"CDS DENTAIRE PARIS LAFAYETTE"</f>
        <v>CDS DENTAIRE PARIS LAFAYETTE</v>
      </c>
      <c r="F1698" t="str">
        <f>"231 RUE LAFAYETTE"</f>
        <v>231 RUE LAFAYETTE</v>
      </c>
      <c r="H1698" t="str">
        <f>"75010"</f>
        <v>75010</v>
      </c>
      <c r="I1698" t="str">
        <f>"PARIS"</f>
        <v>PARIS</v>
      </c>
      <c r="L1698" s="1">
        <v>42648</v>
      </c>
      <c r="M1698" t="str">
        <f t="shared" si="286"/>
        <v>124</v>
      </c>
      <c r="N1698" t="str">
        <f t="shared" si="287"/>
        <v>Centre de Santé</v>
      </c>
      <c r="O1698" t="str">
        <f>"60"</f>
        <v>60</v>
      </c>
      <c r="P1698" t="str">
        <f>"Association Loi 1901 non Reconnue d'Utilité Publique"</f>
        <v>Association Loi 1901 non Reconnue d'Utilité Publique</v>
      </c>
      <c r="Q1698" t="str">
        <f t="shared" si="290"/>
        <v>36</v>
      </c>
      <c r="R1698" t="str">
        <f t="shared" si="291"/>
        <v>Tarifs conventionnels assurance maladie</v>
      </c>
      <c r="U1698" t="str">
        <f>"750059008"</f>
        <v>750059008</v>
      </c>
    </row>
    <row r="1699" spans="1:21" x14ac:dyDescent="0.3">
      <c r="A1699" t="str">
        <f>"340022953"</f>
        <v>340022953</v>
      </c>
      <c r="B1699" t="str">
        <f>"213 400 526 00116"</f>
        <v>213 400 526 00116</v>
      </c>
      <c r="D1699" t="str">
        <f>"CENTRE MUNICIPAL DE SANTE"</f>
        <v>CENTRE MUNICIPAL DE SANTE</v>
      </c>
      <c r="E1699" t="str">
        <f>"MAIRIE"</f>
        <v>MAIRIE</v>
      </c>
      <c r="F1699" t="str">
        <f>"PLACE DANTON CABROL"</f>
        <v>PLACE DANTON CABROL</v>
      </c>
      <c r="H1699" t="str">
        <f>"34310"</f>
        <v>34310</v>
      </c>
      <c r="I1699" t="str">
        <f>"CAPESTANG"</f>
        <v>CAPESTANG</v>
      </c>
      <c r="J1699" t="str">
        <f>"04 67 49 85 96 "</f>
        <v xml:space="preserve">04 67 49 85 96 </v>
      </c>
      <c r="L1699" s="1">
        <v>42644</v>
      </c>
      <c r="M1699" t="str">
        <f t="shared" si="286"/>
        <v>124</v>
      </c>
      <c r="N1699" t="str">
        <f t="shared" si="287"/>
        <v>Centre de Santé</v>
      </c>
      <c r="O1699" t="str">
        <f>"03"</f>
        <v>03</v>
      </c>
      <c r="P1699" t="str">
        <f>"Commune"</f>
        <v>Commune</v>
      </c>
      <c r="Q1699" t="str">
        <f t="shared" si="290"/>
        <v>36</v>
      </c>
      <c r="R1699" t="str">
        <f t="shared" si="291"/>
        <v>Tarifs conventionnels assurance maladie</v>
      </c>
      <c r="U1699" t="str">
        <f>"340022946"</f>
        <v>340022946</v>
      </c>
    </row>
    <row r="1700" spans="1:21" x14ac:dyDescent="0.3">
      <c r="A1700" t="str">
        <f>"930026968"</f>
        <v>930026968</v>
      </c>
      <c r="B1700" t="str">
        <f>"812 619 492 00026"</f>
        <v>812 619 492 00026</v>
      </c>
      <c r="D1700" t="str">
        <f>"CDS VERPANTIN"</f>
        <v>CDS VERPANTIN</v>
      </c>
      <c r="F1700" t="str">
        <f>"19 RUE DU PRE SAINT GERVAIS"</f>
        <v>19 RUE DU PRE SAINT GERVAIS</v>
      </c>
      <c r="H1700" t="str">
        <f>"93500"</f>
        <v>93500</v>
      </c>
      <c r="I1700" t="str">
        <f>"PANTIN"</f>
        <v>PANTIN</v>
      </c>
      <c r="L1700" s="1">
        <v>42642</v>
      </c>
      <c r="M1700" t="str">
        <f t="shared" si="286"/>
        <v>124</v>
      </c>
      <c r="N1700" t="str">
        <f t="shared" si="287"/>
        <v>Centre de Santé</v>
      </c>
      <c r="O1700" t="str">
        <f>"60"</f>
        <v>60</v>
      </c>
      <c r="P1700" t="str">
        <f>"Association Loi 1901 non Reconnue d'Utilité Publique"</f>
        <v>Association Loi 1901 non Reconnue d'Utilité Publique</v>
      </c>
      <c r="Q1700" t="str">
        <f t="shared" si="290"/>
        <v>36</v>
      </c>
      <c r="R1700" t="str">
        <f t="shared" si="291"/>
        <v>Tarifs conventionnels assurance maladie</v>
      </c>
      <c r="U1700" t="str">
        <f>"940022619"</f>
        <v>940022619</v>
      </c>
    </row>
    <row r="1701" spans="1:21" x14ac:dyDescent="0.3">
      <c r="A1701" t="str">
        <f>"820009520"</f>
        <v>820009520</v>
      </c>
      <c r="B1701" t="str">
        <f>"312 215 114 00280"</f>
        <v>312 215 114 00280</v>
      </c>
      <c r="D1701" t="str">
        <f>"CENTRE DE SANTE DENTAIRE MUTUALISTE"</f>
        <v>CENTRE DE SANTE DENTAIRE MUTUALISTE</v>
      </c>
      <c r="F1701" t="str">
        <f>"8 RUE DU CHANOINE MIQUEL"</f>
        <v>8 RUE DU CHANOINE MIQUEL</v>
      </c>
      <c r="H1701" t="str">
        <f>"82000"</f>
        <v>82000</v>
      </c>
      <c r="I1701" t="str">
        <f>"MONTAUBAN"</f>
        <v>MONTAUBAN</v>
      </c>
      <c r="J1701" t="str">
        <f>"05 63 91 91 31 "</f>
        <v xml:space="preserve">05 63 91 91 31 </v>
      </c>
      <c r="L1701" s="1">
        <v>42640</v>
      </c>
      <c r="M1701" t="str">
        <f t="shared" si="286"/>
        <v>124</v>
      </c>
      <c r="N1701" t="str">
        <f t="shared" si="287"/>
        <v>Centre de Santé</v>
      </c>
      <c r="O1701" t="str">
        <f>"47"</f>
        <v>47</v>
      </c>
      <c r="P1701" t="str">
        <f>"Société Mutualiste"</f>
        <v>Société Mutualiste</v>
      </c>
      <c r="Q1701" t="str">
        <f t="shared" si="290"/>
        <v>36</v>
      </c>
      <c r="R1701" t="str">
        <f t="shared" si="291"/>
        <v>Tarifs conventionnels assurance maladie</v>
      </c>
      <c r="U1701" t="str">
        <f>"820005304"</f>
        <v>820005304</v>
      </c>
    </row>
    <row r="1702" spans="1:21" x14ac:dyDescent="0.3">
      <c r="A1702" t="str">
        <f>"750058935"</f>
        <v>750058935</v>
      </c>
      <c r="D1702" t="str">
        <f>"CDS MEDICAL ET DENTAIRE CHEVALERET"</f>
        <v>CDS MEDICAL ET DENTAIRE CHEVALERET</v>
      </c>
      <c r="F1702" t="str">
        <f>"2 SQUARE DUNOIS"</f>
        <v>2 SQUARE DUNOIS</v>
      </c>
      <c r="H1702" t="str">
        <f>"75013"</f>
        <v>75013</v>
      </c>
      <c r="I1702" t="str">
        <f>"PARIS"</f>
        <v>PARIS</v>
      </c>
      <c r="L1702" s="1">
        <v>42636</v>
      </c>
      <c r="M1702" t="str">
        <f t="shared" si="286"/>
        <v>124</v>
      </c>
      <c r="N1702" t="str">
        <f t="shared" si="287"/>
        <v>Centre de Santé</v>
      </c>
      <c r="O1702" t="str">
        <f t="shared" ref="O1702:O1707" si="292">"60"</f>
        <v>60</v>
      </c>
      <c r="P1702" t="str">
        <f t="shared" ref="P1702:P1707" si="293">"Association Loi 1901 non Reconnue d'Utilité Publique"</f>
        <v>Association Loi 1901 non Reconnue d'Utilité Publique</v>
      </c>
      <c r="Q1702" t="str">
        <f t="shared" si="290"/>
        <v>36</v>
      </c>
      <c r="R1702" t="str">
        <f t="shared" si="291"/>
        <v>Tarifs conventionnels assurance maladie</v>
      </c>
      <c r="U1702" t="str">
        <f>"750058927"</f>
        <v>750058927</v>
      </c>
    </row>
    <row r="1703" spans="1:21" x14ac:dyDescent="0.3">
      <c r="A1703" t="str">
        <f>"130045461"</f>
        <v>130045461</v>
      </c>
      <c r="D1703" t="str">
        <f>"CDS CLINADENT SAINT PIERRE"</f>
        <v>CDS CLINADENT SAINT PIERRE</v>
      </c>
      <c r="F1703" t="str">
        <f>"349 RUE SAINT PIERRE"</f>
        <v>349 RUE SAINT PIERRE</v>
      </c>
      <c r="H1703" t="str">
        <f>"13005"</f>
        <v>13005</v>
      </c>
      <c r="I1703" t="str">
        <f>"MARSEILLE"</f>
        <v>MARSEILLE</v>
      </c>
      <c r="J1703" t="str">
        <f>"04 86 68 56 40 "</f>
        <v xml:space="preserve">04 86 68 56 40 </v>
      </c>
      <c r="K1703" t="str">
        <f>"04 86 68 56 40"</f>
        <v>04 86 68 56 40</v>
      </c>
      <c r="L1703" s="1">
        <v>42633</v>
      </c>
      <c r="M1703" t="str">
        <f t="shared" si="286"/>
        <v>124</v>
      </c>
      <c r="N1703" t="str">
        <f t="shared" si="287"/>
        <v>Centre de Santé</v>
      </c>
      <c r="O1703" t="str">
        <f t="shared" si="292"/>
        <v>60</v>
      </c>
      <c r="P1703" t="str">
        <f t="shared" si="293"/>
        <v>Association Loi 1901 non Reconnue d'Utilité Publique</v>
      </c>
      <c r="Q1703" t="str">
        <f t="shared" si="290"/>
        <v>36</v>
      </c>
      <c r="R1703" t="str">
        <f t="shared" si="291"/>
        <v>Tarifs conventionnels assurance maladie</v>
      </c>
      <c r="U1703" t="str">
        <f>"130045529"</f>
        <v>130045529</v>
      </c>
    </row>
    <row r="1704" spans="1:21" x14ac:dyDescent="0.3">
      <c r="A1704" t="str">
        <f>"930026950"</f>
        <v>930026950</v>
      </c>
      <c r="D1704" t="str">
        <f>"CDS DENTAIRE ET OPHTALMOLOGIE"</f>
        <v>CDS DENTAIRE ET OPHTALMOLOGIE</v>
      </c>
      <c r="E1704" t="str">
        <f>"CENTRE COMMERCIAL GRANDE PORTE"</f>
        <v>CENTRE COMMERCIAL GRANDE PORTE</v>
      </c>
      <c r="F1704" t="str">
        <f>"235 RUE ETIENNE MARCEL"</f>
        <v>235 RUE ETIENNE MARCEL</v>
      </c>
      <c r="H1704" t="str">
        <f>"93556"</f>
        <v>93556</v>
      </c>
      <c r="I1704" t="str">
        <f>"MONTREUIL CEDEX"</f>
        <v>MONTREUIL CEDEX</v>
      </c>
      <c r="L1704" s="1">
        <v>42633</v>
      </c>
      <c r="M1704" t="str">
        <f t="shared" si="286"/>
        <v>124</v>
      </c>
      <c r="N1704" t="str">
        <f t="shared" si="287"/>
        <v>Centre de Santé</v>
      </c>
      <c r="O1704" t="str">
        <f t="shared" si="292"/>
        <v>60</v>
      </c>
      <c r="P1704" t="str">
        <f t="shared" si="293"/>
        <v>Association Loi 1901 non Reconnue d'Utilité Publique</v>
      </c>
      <c r="Q1704" t="str">
        <f t="shared" si="290"/>
        <v>36</v>
      </c>
      <c r="R1704" t="str">
        <f t="shared" si="291"/>
        <v>Tarifs conventionnels assurance maladie</v>
      </c>
      <c r="U1704" t="str">
        <f>"940022619"</f>
        <v>940022619</v>
      </c>
    </row>
    <row r="1705" spans="1:21" x14ac:dyDescent="0.3">
      <c r="A1705" t="str">
        <f>"920030251"</f>
        <v>920030251</v>
      </c>
      <c r="B1705" t="str">
        <f>"913 442 307 00017"</f>
        <v>913 442 307 00017</v>
      </c>
      <c r="D1705" t="str">
        <f>"CDS CENTRE DE SOINS DENTAIRES VAUBAN"</f>
        <v>CDS CENTRE DE SOINS DENTAIRES VAUBAN</v>
      </c>
      <c r="F1705" t="str">
        <f>"73 AVENUE DE PARIS"</f>
        <v>73 AVENUE DE PARIS</v>
      </c>
      <c r="H1705" t="str">
        <f>"92320"</f>
        <v>92320</v>
      </c>
      <c r="I1705" t="str">
        <f>"CHATILLON"</f>
        <v>CHATILLON</v>
      </c>
      <c r="J1705" t="str">
        <f>"01 41 13 41 41 "</f>
        <v xml:space="preserve">01 41 13 41 41 </v>
      </c>
      <c r="L1705" s="1">
        <v>42628</v>
      </c>
      <c r="M1705" t="str">
        <f t="shared" si="286"/>
        <v>124</v>
      </c>
      <c r="N1705" t="str">
        <f t="shared" si="287"/>
        <v>Centre de Santé</v>
      </c>
      <c r="O1705" t="str">
        <f t="shared" si="292"/>
        <v>60</v>
      </c>
      <c r="P1705" t="str">
        <f t="shared" si="293"/>
        <v>Association Loi 1901 non Reconnue d'Utilité Publique</v>
      </c>
      <c r="Q1705" t="str">
        <f t="shared" si="290"/>
        <v>36</v>
      </c>
      <c r="R1705" t="str">
        <f t="shared" si="291"/>
        <v>Tarifs conventionnels assurance maladie</v>
      </c>
      <c r="U1705" t="str">
        <f>"920040003"</f>
        <v>920040003</v>
      </c>
    </row>
    <row r="1706" spans="1:21" x14ac:dyDescent="0.3">
      <c r="A1706" t="str">
        <f>"060024684"</f>
        <v>060024684</v>
      </c>
      <c r="B1706" t="str">
        <f>"821 158 920 00016"</f>
        <v>821 158 920 00016</v>
      </c>
      <c r="D1706" t="str">
        <f>"CDS DENTAIRE NICE THIERS"</f>
        <v>CDS DENTAIRE NICE THIERS</v>
      </c>
      <c r="F1706" t="str">
        <f>"18 AVENUE THIERS"</f>
        <v>18 AVENUE THIERS</v>
      </c>
      <c r="H1706" t="str">
        <f>"06000"</f>
        <v>06000</v>
      </c>
      <c r="I1706" t="str">
        <f>"NICE"</f>
        <v>NICE</v>
      </c>
      <c r="J1706" t="str">
        <f>"04 92 00 08 08 "</f>
        <v xml:space="preserve">04 92 00 08 08 </v>
      </c>
      <c r="L1706" s="1">
        <v>42626</v>
      </c>
      <c r="M1706" t="str">
        <f t="shared" si="286"/>
        <v>124</v>
      </c>
      <c r="N1706" t="str">
        <f t="shared" si="287"/>
        <v>Centre de Santé</v>
      </c>
      <c r="O1706" t="str">
        <f t="shared" si="292"/>
        <v>60</v>
      </c>
      <c r="P1706" t="str">
        <f t="shared" si="293"/>
        <v>Association Loi 1901 non Reconnue d'Utilité Publique</v>
      </c>
      <c r="Q1706" t="str">
        <f t="shared" si="290"/>
        <v>36</v>
      </c>
      <c r="R1706" t="str">
        <f t="shared" si="291"/>
        <v>Tarifs conventionnels assurance maladie</v>
      </c>
      <c r="U1706" t="str">
        <f>"060024676"</f>
        <v>060024676</v>
      </c>
    </row>
    <row r="1707" spans="1:21" x14ac:dyDescent="0.3">
      <c r="A1707" t="str">
        <f>"380019901"</f>
        <v>380019901</v>
      </c>
      <c r="B1707" t="str">
        <f>"789 804 622 00031"</f>
        <v>789 804 622 00031</v>
      </c>
      <c r="D1707" t="str">
        <f>"CENTRE DE SANTE LE VILLAGE 2 SANTE"</f>
        <v>CENTRE DE SANTE LE VILLAGE 2 SANTE</v>
      </c>
      <c r="F1707" t="str">
        <f>"6 RUE DENIS PAPIN"</f>
        <v>6 RUE DENIS PAPIN</v>
      </c>
      <c r="H1707" t="str">
        <f>"38130"</f>
        <v>38130</v>
      </c>
      <c r="I1707" t="str">
        <f>"ECHIROLLES"</f>
        <v>ECHIROLLES</v>
      </c>
      <c r="J1707" t="str">
        <f>"04 57 00 80 00 "</f>
        <v xml:space="preserve">04 57 00 80 00 </v>
      </c>
      <c r="L1707" s="1">
        <v>42625</v>
      </c>
      <c r="M1707" t="str">
        <f t="shared" si="286"/>
        <v>124</v>
      </c>
      <c r="N1707" t="str">
        <f t="shared" si="287"/>
        <v>Centre de Santé</v>
      </c>
      <c r="O1707" t="str">
        <f t="shared" si="292"/>
        <v>60</v>
      </c>
      <c r="P1707" t="str">
        <f t="shared" si="293"/>
        <v>Association Loi 1901 non Reconnue d'Utilité Publique</v>
      </c>
      <c r="Q1707" t="str">
        <f t="shared" si="290"/>
        <v>36</v>
      </c>
      <c r="R1707" t="str">
        <f t="shared" si="291"/>
        <v>Tarifs conventionnels assurance maladie</v>
      </c>
      <c r="U1707" t="str">
        <f>"380019893"</f>
        <v>380019893</v>
      </c>
    </row>
    <row r="1708" spans="1:21" x14ac:dyDescent="0.3">
      <c r="A1708" t="str">
        <f>"040004954"</f>
        <v>040004954</v>
      </c>
      <c r="B1708" t="str">
        <f>"352 098 131 00860"</f>
        <v>352 098 131 00860</v>
      </c>
      <c r="D1708" t="str">
        <f>"CDS MEDIC EQUIPE MOBILE SANTE VISUELLE"</f>
        <v>CDS MEDIC EQUIPE MOBILE SANTE VISUELLE</v>
      </c>
      <c r="E1708" t="str">
        <f>"RESIDENCE DE L'ETOILE"</f>
        <v>RESIDENCE DE L'ETOILE</v>
      </c>
      <c r="F1708" t="str">
        <f>"RUE DES HEURES CLAIRES"</f>
        <v>RUE DES HEURES CLAIRES</v>
      </c>
      <c r="H1708" t="str">
        <f>"04100"</f>
        <v>04100</v>
      </c>
      <c r="I1708" t="str">
        <f>"MANOSQUE"</f>
        <v>MANOSQUE</v>
      </c>
      <c r="J1708" t="str">
        <f>"06 46 15 01 70 "</f>
        <v xml:space="preserve">06 46 15 01 70 </v>
      </c>
      <c r="L1708" s="1">
        <v>42622</v>
      </c>
      <c r="M1708" t="str">
        <f t="shared" si="286"/>
        <v>124</v>
      </c>
      <c r="N1708" t="str">
        <f t="shared" si="287"/>
        <v>Centre de Santé</v>
      </c>
      <c r="O1708" t="str">
        <f>"47"</f>
        <v>47</v>
      </c>
      <c r="P1708" t="str">
        <f>"Société Mutualiste"</f>
        <v>Société Mutualiste</v>
      </c>
      <c r="Q1708" t="str">
        <f t="shared" si="290"/>
        <v>36</v>
      </c>
      <c r="R1708" t="str">
        <f t="shared" si="291"/>
        <v>Tarifs conventionnels assurance maladie</v>
      </c>
      <c r="U1708" t="str">
        <f>"130007032"</f>
        <v>130007032</v>
      </c>
    </row>
    <row r="1709" spans="1:21" x14ac:dyDescent="0.3">
      <c r="A1709" t="str">
        <f>"950043182"</f>
        <v>950043182</v>
      </c>
      <c r="D1709" t="str">
        <f>"CDS MEDICO DENTAIRE GARGES LES GONESSE"</f>
        <v>CDS MEDICO DENTAIRE GARGES LES GONESSE</v>
      </c>
      <c r="F1709" t="str">
        <f>"1 RUE DEGAS"</f>
        <v>1 RUE DEGAS</v>
      </c>
      <c r="H1709" t="str">
        <f>"95140"</f>
        <v>95140</v>
      </c>
      <c r="I1709" t="str">
        <f>"GARGES LES GONESSE"</f>
        <v>GARGES LES GONESSE</v>
      </c>
      <c r="J1709" t="str">
        <f>"09 51 77 86 62 "</f>
        <v xml:space="preserve">09 51 77 86 62 </v>
      </c>
      <c r="L1709" s="1">
        <v>42619</v>
      </c>
      <c r="M1709" t="str">
        <f t="shared" si="286"/>
        <v>124</v>
      </c>
      <c r="N1709" t="str">
        <f t="shared" si="287"/>
        <v>Centre de Santé</v>
      </c>
      <c r="O1709" t="str">
        <f>"60"</f>
        <v>60</v>
      </c>
      <c r="P1709" t="str">
        <f>"Association Loi 1901 non Reconnue d'Utilité Publique"</f>
        <v>Association Loi 1901 non Reconnue d'Utilité Publique</v>
      </c>
      <c r="Q1709" t="str">
        <f t="shared" si="290"/>
        <v>36</v>
      </c>
      <c r="R1709" t="str">
        <f t="shared" si="291"/>
        <v>Tarifs conventionnels assurance maladie</v>
      </c>
      <c r="U1709" t="str">
        <f>"950043174"</f>
        <v>950043174</v>
      </c>
    </row>
    <row r="1710" spans="1:21" x14ac:dyDescent="0.3">
      <c r="A1710" t="str">
        <f>"160016069"</f>
        <v>160016069</v>
      </c>
      <c r="B1710" t="str">
        <f>"781 166 285 00432"</f>
        <v>781 166 285 00432</v>
      </c>
      <c r="D1710" t="str">
        <f>"ESPACE DENTAIRE MUTUALISTE"</f>
        <v>ESPACE DENTAIRE MUTUALISTE</v>
      </c>
      <c r="F1710" t="str">
        <f>"9 CHEMIN DES PILARDS"</f>
        <v>9 CHEMIN DES PILARDS</v>
      </c>
      <c r="H1710" t="str">
        <f>"16300"</f>
        <v>16300</v>
      </c>
      <c r="I1710" t="str">
        <f>"BARBEZIEUX ST HILAIRE"</f>
        <v>BARBEZIEUX ST HILAIRE</v>
      </c>
      <c r="J1710" t="str">
        <f>"05 45 78 03 89 "</f>
        <v xml:space="preserve">05 45 78 03 89 </v>
      </c>
      <c r="K1710" t="str">
        <f>"05 45 78 96 51"</f>
        <v>05 45 78 96 51</v>
      </c>
      <c r="L1710" s="1">
        <v>42618</v>
      </c>
      <c r="M1710" t="str">
        <f t="shared" si="286"/>
        <v>124</v>
      </c>
      <c r="N1710" t="str">
        <f t="shared" si="287"/>
        <v>Centre de Santé</v>
      </c>
      <c r="O1710" t="str">
        <f>"47"</f>
        <v>47</v>
      </c>
      <c r="P1710" t="str">
        <f>"Société Mutualiste"</f>
        <v>Société Mutualiste</v>
      </c>
      <c r="Q1710" t="str">
        <f t="shared" si="290"/>
        <v>36</v>
      </c>
      <c r="R1710" t="str">
        <f t="shared" si="291"/>
        <v>Tarifs conventionnels assurance maladie</v>
      </c>
      <c r="U1710" t="str">
        <f>"160009908"</f>
        <v>160009908</v>
      </c>
    </row>
    <row r="1711" spans="1:21" x14ac:dyDescent="0.3">
      <c r="A1711" t="str">
        <f>"340023076"</f>
        <v>340023076</v>
      </c>
      <c r="D1711" t="str">
        <f>"CDS POLYVALENT UNIVERSITAIRE MTP"</f>
        <v>CDS POLYVALENT UNIVERSITAIRE MTP</v>
      </c>
      <c r="F1711" t="str">
        <f>"8 RUE DE L'ECOLE NORMALE"</f>
        <v>8 RUE DE L'ECOLE NORMALE</v>
      </c>
      <c r="H1711" t="str">
        <f>"34000"</f>
        <v>34000</v>
      </c>
      <c r="I1711" t="str">
        <f>"MONTPELLIER"</f>
        <v>MONTPELLIER</v>
      </c>
      <c r="J1711" t="str">
        <f>"04 11 28 19 79 "</f>
        <v xml:space="preserve">04 11 28 19 79 </v>
      </c>
      <c r="L1711" s="1">
        <v>42614</v>
      </c>
      <c r="M1711" t="str">
        <f t="shared" si="286"/>
        <v>124</v>
      </c>
      <c r="N1711" t="str">
        <f t="shared" si="287"/>
        <v>Centre de Santé</v>
      </c>
      <c r="O1711" t="str">
        <f>"26"</f>
        <v>26</v>
      </c>
      <c r="P1711" t="str">
        <f>"Autre Etablissement Public à Caractère Administratif"</f>
        <v>Autre Etablissement Public à Caractère Administratif</v>
      </c>
      <c r="Q1711" t="str">
        <f t="shared" si="290"/>
        <v>36</v>
      </c>
      <c r="R1711" t="str">
        <f t="shared" si="291"/>
        <v>Tarifs conventionnels assurance maladie</v>
      </c>
      <c r="U1711" t="str">
        <f>"340023266"</f>
        <v>340023266</v>
      </c>
    </row>
    <row r="1712" spans="1:21" x14ac:dyDescent="0.3">
      <c r="A1712" t="str">
        <f>"840019400"</f>
        <v>840019400</v>
      </c>
      <c r="B1712" t="str">
        <f>"818 949 869 00015"</f>
        <v>818 949 869 00015</v>
      </c>
      <c r="D1712" t="str">
        <f>"CDS MEDICAL OPHTALMOLOGIQUE"</f>
        <v>CDS MEDICAL OPHTALMOLOGIQUE</v>
      </c>
      <c r="F1712" t="str">
        <f>"314 RUE RENE CASSIN"</f>
        <v>314 RUE RENE CASSIN</v>
      </c>
      <c r="H1712" t="str">
        <f>"84000"</f>
        <v>84000</v>
      </c>
      <c r="I1712" t="str">
        <f>"AVIGNON"</f>
        <v>AVIGNON</v>
      </c>
      <c r="J1712" t="str">
        <f>"04 90 80 02 33 "</f>
        <v xml:space="preserve">04 90 80 02 33 </v>
      </c>
      <c r="L1712" s="1">
        <v>42614</v>
      </c>
      <c r="M1712" t="str">
        <f t="shared" si="286"/>
        <v>124</v>
      </c>
      <c r="N1712" t="str">
        <f t="shared" si="287"/>
        <v>Centre de Santé</v>
      </c>
      <c r="O1712" t="str">
        <f>"60"</f>
        <v>60</v>
      </c>
      <c r="P1712" t="str">
        <f>"Association Loi 1901 non Reconnue d'Utilité Publique"</f>
        <v>Association Loi 1901 non Reconnue d'Utilité Publique</v>
      </c>
      <c r="Q1712" t="str">
        <f t="shared" si="290"/>
        <v>36</v>
      </c>
      <c r="R1712" t="str">
        <f t="shared" si="291"/>
        <v>Tarifs conventionnels assurance maladie</v>
      </c>
      <c r="U1712" t="str">
        <f>"840019392"</f>
        <v>840019392</v>
      </c>
    </row>
    <row r="1713" spans="1:21" x14ac:dyDescent="0.3">
      <c r="A1713" t="str">
        <f>"530008739"</f>
        <v>530008739</v>
      </c>
      <c r="B1713" t="str">
        <f>"844 881 417 00746"</f>
        <v>844 881 417 00746</v>
      </c>
      <c r="D1713" t="str">
        <f>"CENTRE DE SANTE DENTAIRE DE CHANGE"</f>
        <v>CENTRE DE SANTE DENTAIRE DE CHANGE</v>
      </c>
      <c r="F1713" t="str">
        <f>"10 RUE DES ROULIERS"</f>
        <v>10 RUE DES ROULIERS</v>
      </c>
      <c r="H1713" t="str">
        <f>"53810"</f>
        <v>53810</v>
      </c>
      <c r="I1713" t="str">
        <f>"CHANGE"</f>
        <v>CHANGE</v>
      </c>
      <c r="J1713" t="str">
        <f>"02 72 88 41 05 "</f>
        <v xml:space="preserve">02 72 88 41 05 </v>
      </c>
      <c r="K1713" t="str">
        <f>"02 72 88 41 04"</f>
        <v>02 72 88 41 04</v>
      </c>
      <c r="L1713" s="1">
        <v>42612</v>
      </c>
      <c r="M1713" t="str">
        <f t="shared" si="286"/>
        <v>124</v>
      </c>
      <c r="N1713" t="str">
        <f t="shared" si="287"/>
        <v>Centre de Santé</v>
      </c>
      <c r="O1713" t="str">
        <f>"47"</f>
        <v>47</v>
      </c>
      <c r="P1713" t="str">
        <f>"Société Mutualiste"</f>
        <v>Société Mutualiste</v>
      </c>
      <c r="Q1713" t="str">
        <f t="shared" si="290"/>
        <v>36</v>
      </c>
      <c r="R1713" t="str">
        <f t="shared" si="291"/>
        <v>Tarifs conventionnels assurance maladie</v>
      </c>
      <c r="U1713" t="str">
        <f>"850028085"</f>
        <v>850028085</v>
      </c>
    </row>
    <row r="1714" spans="1:21" x14ac:dyDescent="0.3">
      <c r="A1714" t="str">
        <f>"750058877"</f>
        <v>750058877</v>
      </c>
      <c r="D1714" t="str">
        <f>"CDS DENTAIRE MAUBEUGE"</f>
        <v>CDS DENTAIRE MAUBEUGE</v>
      </c>
      <c r="F1714" t="str">
        <f>"35 RUE DE MAUBEUGE"</f>
        <v>35 RUE DE MAUBEUGE</v>
      </c>
      <c r="H1714" t="str">
        <f>"75009"</f>
        <v>75009</v>
      </c>
      <c r="I1714" t="str">
        <f>"PARIS"</f>
        <v>PARIS</v>
      </c>
      <c r="K1714" t="str">
        <f>"01 69 53 00 07"</f>
        <v>01 69 53 00 07</v>
      </c>
      <c r="L1714" s="1">
        <v>42608</v>
      </c>
      <c r="M1714" t="str">
        <f t="shared" si="286"/>
        <v>124</v>
      </c>
      <c r="N1714" t="str">
        <f t="shared" si="287"/>
        <v>Centre de Santé</v>
      </c>
      <c r="O1714" t="str">
        <f>"60"</f>
        <v>60</v>
      </c>
      <c r="P1714" t="str">
        <f>"Association Loi 1901 non Reconnue d'Utilité Publique"</f>
        <v>Association Loi 1901 non Reconnue d'Utilité Publique</v>
      </c>
      <c r="Q1714" t="str">
        <f t="shared" si="290"/>
        <v>36</v>
      </c>
      <c r="R1714" t="str">
        <f t="shared" si="291"/>
        <v>Tarifs conventionnels assurance maladie</v>
      </c>
      <c r="U1714" t="str">
        <f>"750058869"</f>
        <v>750058869</v>
      </c>
    </row>
    <row r="1715" spans="1:21" x14ac:dyDescent="0.3">
      <c r="A1715" t="str">
        <f>"590058913"</f>
        <v>590058913</v>
      </c>
      <c r="B1715" t="str">
        <f>"775 685 316 02195"</f>
        <v>775 685 316 02195</v>
      </c>
      <c r="D1715" t="str">
        <f>"C.S. FILIERIS FLERS EN ESCREBIEUX"</f>
        <v>C.S. FILIERIS FLERS EN ESCREBIEUX</v>
      </c>
      <c r="F1715" t="str">
        <f>"12 RUE DE AUBY"</f>
        <v>12 RUE DE AUBY</v>
      </c>
      <c r="H1715" t="str">
        <f>"59128"</f>
        <v>59128</v>
      </c>
      <c r="I1715" t="str">
        <f>"FLERS EN ESCREBIEUX"</f>
        <v>FLERS EN ESCREBIEUX</v>
      </c>
      <c r="J1715" t="str">
        <f>"03 21 08 69 70 "</f>
        <v xml:space="preserve">03 21 08 69 70 </v>
      </c>
      <c r="L1715" s="1">
        <v>42607</v>
      </c>
      <c r="M1715" t="str">
        <f t="shared" si="286"/>
        <v>124</v>
      </c>
      <c r="N1715" t="str">
        <f t="shared" si="287"/>
        <v>Centre de Santé</v>
      </c>
      <c r="O1715" t="str">
        <f t="shared" ref="O1715:O1727" si="294">"41"</f>
        <v>41</v>
      </c>
      <c r="P1715" t="str">
        <f t="shared" ref="P1715:P1727" si="295">"Régime Spécial de Sécurité Sociale"</f>
        <v>Régime Spécial de Sécurité Sociale</v>
      </c>
      <c r="Q1715" t="str">
        <f t="shared" si="290"/>
        <v>36</v>
      </c>
      <c r="R1715" t="str">
        <f t="shared" si="291"/>
        <v>Tarifs conventionnels assurance maladie</v>
      </c>
      <c r="U1715" t="str">
        <f>"620020859"</f>
        <v>620020859</v>
      </c>
    </row>
    <row r="1716" spans="1:21" x14ac:dyDescent="0.3">
      <c r="A1716" t="str">
        <f>"590058939"</f>
        <v>590058939</v>
      </c>
      <c r="B1716" t="str">
        <f>"775 685 316 02708"</f>
        <v>775 685 316 02708</v>
      </c>
      <c r="D1716" t="str">
        <f>"CENTRE DE SANTÉ POLYVALENT"</f>
        <v>CENTRE DE SANTÉ POLYVALENT</v>
      </c>
      <c r="F1716" t="str">
        <f>"2 PLACE ROMBAULT"</f>
        <v>2 PLACE ROMBAULT</v>
      </c>
      <c r="H1716" t="str">
        <f>"59163"</f>
        <v>59163</v>
      </c>
      <c r="I1716" t="str">
        <f>"CONDE SUR L ESCAUT"</f>
        <v>CONDE SUR L ESCAUT</v>
      </c>
      <c r="J1716" t="str">
        <f>"03 21 08 69 70 "</f>
        <v xml:space="preserve">03 21 08 69 70 </v>
      </c>
      <c r="L1716" s="1">
        <v>42607</v>
      </c>
      <c r="M1716" t="str">
        <f t="shared" si="286"/>
        <v>124</v>
      </c>
      <c r="N1716" t="str">
        <f t="shared" si="287"/>
        <v>Centre de Santé</v>
      </c>
      <c r="O1716" t="str">
        <f t="shared" si="294"/>
        <v>41</v>
      </c>
      <c r="P1716" t="str">
        <f t="shared" si="295"/>
        <v>Régime Spécial de Sécurité Sociale</v>
      </c>
      <c r="Q1716" t="str">
        <f t="shared" si="290"/>
        <v>36</v>
      </c>
      <c r="R1716" t="str">
        <f t="shared" si="291"/>
        <v>Tarifs conventionnels assurance maladie</v>
      </c>
      <c r="U1716" t="str">
        <f t="shared" ref="U1716:U1727" si="296">"750050759"</f>
        <v>750050759</v>
      </c>
    </row>
    <row r="1717" spans="1:21" x14ac:dyDescent="0.3">
      <c r="A1717" t="str">
        <f>"590058947"</f>
        <v>590058947</v>
      </c>
      <c r="B1717" t="str">
        <f>"775 685 316 02393"</f>
        <v>775 685 316 02393</v>
      </c>
      <c r="D1717" t="str">
        <f>"CSP FILIERIS DE DOUAI DUNANT"</f>
        <v>CSP FILIERIS DE DOUAI DUNANT</v>
      </c>
      <c r="F1717" t="str">
        <f>"61 RUE DUNANT"</f>
        <v>61 RUE DUNANT</v>
      </c>
      <c r="H1717" t="str">
        <f>"59500"</f>
        <v>59500</v>
      </c>
      <c r="I1717" t="str">
        <f>"DOUAI"</f>
        <v>DOUAI</v>
      </c>
      <c r="J1717" t="str">
        <f>"03 27 88 97 24 "</f>
        <v xml:space="preserve">03 27 88 97 24 </v>
      </c>
      <c r="L1717" s="1">
        <v>42607</v>
      </c>
      <c r="M1717" t="str">
        <f t="shared" si="286"/>
        <v>124</v>
      </c>
      <c r="N1717" t="str">
        <f t="shared" si="287"/>
        <v>Centre de Santé</v>
      </c>
      <c r="O1717" t="str">
        <f t="shared" si="294"/>
        <v>41</v>
      </c>
      <c r="P1717" t="str">
        <f t="shared" si="295"/>
        <v>Régime Spécial de Sécurité Sociale</v>
      </c>
      <c r="Q1717" t="str">
        <f t="shared" ref="Q1717:Q1748" si="297">"36"</f>
        <v>36</v>
      </c>
      <c r="R1717" t="str">
        <f t="shared" ref="R1717:R1748" si="298">"Tarifs conventionnels assurance maladie"</f>
        <v>Tarifs conventionnels assurance maladie</v>
      </c>
      <c r="U1717" t="str">
        <f t="shared" si="296"/>
        <v>750050759</v>
      </c>
    </row>
    <row r="1718" spans="1:21" x14ac:dyDescent="0.3">
      <c r="A1718" t="str">
        <f>"590058954"</f>
        <v>590058954</v>
      </c>
      <c r="B1718" t="str">
        <f>"775 685 316 01205"</f>
        <v>775 685 316 01205</v>
      </c>
      <c r="D1718" t="str">
        <f>"CSP FILIERIS DE PECQUENCOURT"</f>
        <v>CSP FILIERIS DE PECQUENCOURT</v>
      </c>
      <c r="E1718" t="str">
        <f>"CITÉ LEMAY"</f>
        <v>CITÉ LEMAY</v>
      </c>
      <c r="F1718" t="str">
        <f>"RUE DE GÉNISSIAT"</f>
        <v>RUE DE GÉNISSIAT</v>
      </c>
      <c r="H1718" t="str">
        <f>"59146"</f>
        <v>59146</v>
      </c>
      <c r="I1718" t="str">
        <f>"PECQUENCOURT"</f>
        <v>PECQUENCOURT</v>
      </c>
      <c r="J1718" t="str">
        <f>"03 27 80 70 04 "</f>
        <v xml:space="preserve">03 27 80 70 04 </v>
      </c>
      <c r="L1718" s="1">
        <v>42607</v>
      </c>
      <c r="M1718" t="str">
        <f t="shared" si="286"/>
        <v>124</v>
      </c>
      <c r="N1718" t="str">
        <f t="shared" si="287"/>
        <v>Centre de Santé</v>
      </c>
      <c r="O1718" t="str">
        <f t="shared" si="294"/>
        <v>41</v>
      </c>
      <c r="P1718" t="str">
        <f t="shared" si="295"/>
        <v>Régime Spécial de Sécurité Sociale</v>
      </c>
      <c r="Q1718" t="str">
        <f t="shared" si="297"/>
        <v>36</v>
      </c>
      <c r="R1718" t="str">
        <f t="shared" si="298"/>
        <v>Tarifs conventionnels assurance maladie</v>
      </c>
      <c r="U1718" t="str">
        <f t="shared" si="296"/>
        <v>750050759</v>
      </c>
    </row>
    <row r="1719" spans="1:21" x14ac:dyDescent="0.3">
      <c r="A1719" t="str">
        <f>"590058962"</f>
        <v>590058962</v>
      </c>
      <c r="B1719" t="str">
        <f>"775 685 316 03029"</f>
        <v>775 685 316 03029</v>
      </c>
      <c r="D1719" t="str">
        <f>"CSP FILIERIS D'ESCAUTPON"</f>
        <v>CSP FILIERIS D'ESCAUTPON</v>
      </c>
      <c r="F1719" t="str">
        <f>"148 RUE JEAN JAURÈS"</f>
        <v>148 RUE JEAN JAURÈS</v>
      </c>
      <c r="H1719" t="str">
        <f>"59278"</f>
        <v>59278</v>
      </c>
      <c r="I1719" t="str">
        <f>"ESCAUTPONT"</f>
        <v>ESCAUTPONT</v>
      </c>
      <c r="J1719" t="str">
        <f>"03 27 25 96 30 "</f>
        <v xml:space="preserve">03 27 25 96 30 </v>
      </c>
      <c r="L1719" s="1">
        <v>42607</v>
      </c>
      <c r="M1719" t="str">
        <f t="shared" si="286"/>
        <v>124</v>
      </c>
      <c r="N1719" t="str">
        <f t="shared" si="287"/>
        <v>Centre de Santé</v>
      </c>
      <c r="O1719" t="str">
        <f t="shared" si="294"/>
        <v>41</v>
      </c>
      <c r="P1719" t="str">
        <f t="shared" si="295"/>
        <v>Régime Spécial de Sécurité Sociale</v>
      </c>
      <c r="Q1719" t="str">
        <f t="shared" si="297"/>
        <v>36</v>
      </c>
      <c r="R1719" t="str">
        <f t="shared" si="298"/>
        <v>Tarifs conventionnels assurance maladie</v>
      </c>
      <c r="U1719" t="str">
        <f t="shared" si="296"/>
        <v>750050759</v>
      </c>
    </row>
    <row r="1720" spans="1:21" x14ac:dyDescent="0.3">
      <c r="A1720" t="str">
        <f>"590058970"</f>
        <v>590058970</v>
      </c>
      <c r="B1720" t="str">
        <f>"775 685 316 01213"</f>
        <v>775 685 316 01213</v>
      </c>
      <c r="D1720" t="str">
        <f>"CSP FILIERIS DE ROOST-WARENDIN"</f>
        <v>CSP FILIERIS DE ROOST-WARENDIN</v>
      </c>
      <c r="F1720" t="str">
        <f>"50 RUE BROSSOLETTE"</f>
        <v>50 RUE BROSSOLETTE</v>
      </c>
      <c r="H1720" t="str">
        <f>"59286"</f>
        <v>59286</v>
      </c>
      <c r="I1720" t="str">
        <f>"ROOST WARENDIN"</f>
        <v>ROOST WARENDIN</v>
      </c>
      <c r="J1720" t="str">
        <f>"03 27 80 24 54 "</f>
        <v xml:space="preserve">03 27 80 24 54 </v>
      </c>
      <c r="L1720" s="1">
        <v>42607</v>
      </c>
      <c r="M1720" t="str">
        <f t="shared" si="286"/>
        <v>124</v>
      </c>
      <c r="N1720" t="str">
        <f t="shared" si="287"/>
        <v>Centre de Santé</v>
      </c>
      <c r="O1720" t="str">
        <f t="shared" si="294"/>
        <v>41</v>
      </c>
      <c r="P1720" t="str">
        <f t="shared" si="295"/>
        <v>Régime Spécial de Sécurité Sociale</v>
      </c>
      <c r="Q1720" t="str">
        <f t="shared" si="297"/>
        <v>36</v>
      </c>
      <c r="R1720" t="str">
        <f t="shared" si="298"/>
        <v>Tarifs conventionnels assurance maladie</v>
      </c>
      <c r="U1720" t="str">
        <f t="shared" si="296"/>
        <v>750050759</v>
      </c>
    </row>
    <row r="1721" spans="1:21" x14ac:dyDescent="0.3">
      <c r="A1721" t="str">
        <f>"620032417"</f>
        <v>620032417</v>
      </c>
      <c r="B1721" t="str">
        <f>"775 685 316 02476"</f>
        <v>775 685 316 02476</v>
      </c>
      <c r="D1721" t="str">
        <f>"CSP FILIERIS D'AIX NOULETTE"</f>
        <v>CSP FILIERIS D'AIX NOULETTE</v>
      </c>
      <c r="F1721" t="str">
        <f>"PLACE DE LA MAIRIE"</f>
        <v>PLACE DE LA MAIRIE</v>
      </c>
      <c r="H1721" t="str">
        <f>"62160"</f>
        <v>62160</v>
      </c>
      <c r="I1721" t="str">
        <f>"AIX NOULETTE"</f>
        <v>AIX NOULETTE</v>
      </c>
      <c r="J1721" t="str">
        <f>"03 21 29 19 71 "</f>
        <v xml:space="preserve">03 21 29 19 71 </v>
      </c>
      <c r="L1721" s="1">
        <v>42607</v>
      </c>
      <c r="M1721" t="str">
        <f t="shared" si="286"/>
        <v>124</v>
      </c>
      <c r="N1721" t="str">
        <f t="shared" si="287"/>
        <v>Centre de Santé</v>
      </c>
      <c r="O1721" t="str">
        <f t="shared" si="294"/>
        <v>41</v>
      </c>
      <c r="P1721" t="str">
        <f t="shared" si="295"/>
        <v>Régime Spécial de Sécurité Sociale</v>
      </c>
      <c r="Q1721" t="str">
        <f t="shared" si="297"/>
        <v>36</v>
      </c>
      <c r="R1721" t="str">
        <f t="shared" si="298"/>
        <v>Tarifs conventionnels assurance maladie</v>
      </c>
      <c r="U1721" t="str">
        <f t="shared" si="296"/>
        <v>750050759</v>
      </c>
    </row>
    <row r="1722" spans="1:21" x14ac:dyDescent="0.3">
      <c r="A1722" t="str">
        <f>"620032441"</f>
        <v>620032441</v>
      </c>
      <c r="B1722" t="str">
        <f>"775 685 316 01833"</f>
        <v>775 685 316 01833</v>
      </c>
      <c r="D1722" t="str">
        <f>"CSP FILIERIS D'HÉNIN-BEAUMONT"</f>
        <v>CSP FILIERIS D'HÉNIN-BEAUMONT</v>
      </c>
      <c r="F1722" t="str">
        <f>"688 RUE JEAN MACÉ"</f>
        <v>688 RUE JEAN MACÉ</v>
      </c>
      <c r="H1722" t="str">
        <f>"62110"</f>
        <v>62110</v>
      </c>
      <c r="I1722" t="str">
        <f>"HENIN BEAUMONT"</f>
        <v>HENIN BEAUMONT</v>
      </c>
      <c r="J1722" t="str">
        <f>"03 21 20 01 30 "</f>
        <v xml:space="preserve">03 21 20 01 30 </v>
      </c>
      <c r="L1722" s="1">
        <v>42607</v>
      </c>
      <c r="M1722" t="str">
        <f t="shared" si="286"/>
        <v>124</v>
      </c>
      <c r="N1722" t="str">
        <f t="shared" si="287"/>
        <v>Centre de Santé</v>
      </c>
      <c r="O1722" t="str">
        <f t="shared" si="294"/>
        <v>41</v>
      </c>
      <c r="P1722" t="str">
        <f t="shared" si="295"/>
        <v>Régime Spécial de Sécurité Sociale</v>
      </c>
      <c r="Q1722" t="str">
        <f t="shared" si="297"/>
        <v>36</v>
      </c>
      <c r="R1722" t="str">
        <f t="shared" si="298"/>
        <v>Tarifs conventionnels assurance maladie</v>
      </c>
      <c r="U1722" t="str">
        <f t="shared" si="296"/>
        <v>750050759</v>
      </c>
    </row>
    <row r="1723" spans="1:21" x14ac:dyDescent="0.3">
      <c r="A1723" t="str">
        <f>"620032466"</f>
        <v>620032466</v>
      </c>
      <c r="B1723" t="str">
        <f>"775 685 316 02427"</f>
        <v>775 685 316 02427</v>
      </c>
      <c r="D1723" t="str">
        <f>"CSP FILIERIS DE BARLIN"</f>
        <v>CSP FILIERIS DE BARLIN</v>
      </c>
      <c r="F1723" t="str">
        <f>"161 RUE DE FRESNICOURT"</f>
        <v>161 RUE DE FRESNICOURT</v>
      </c>
      <c r="H1723" t="str">
        <f>"62620"</f>
        <v>62620</v>
      </c>
      <c r="I1723" t="str">
        <f>"BARLIN"</f>
        <v>BARLIN</v>
      </c>
      <c r="J1723" t="str">
        <f>"03 21 25 91 20 "</f>
        <v xml:space="preserve">03 21 25 91 20 </v>
      </c>
      <c r="L1723" s="1">
        <v>42607</v>
      </c>
      <c r="M1723" t="str">
        <f t="shared" si="286"/>
        <v>124</v>
      </c>
      <c r="N1723" t="str">
        <f t="shared" si="287"/>
        <v>Centre de Santé</v>
      </c>
      <c r="O1723" t="str">
        <f t="shared" si="294"/>
        <v>41</v>
      </c>
      <c r="P1723" t="str">
        <f t="shared" si="295"/>
        <v>Régime Spécial de Sécurité Sociale</v>
      </c>
      <c r="Q1723" t="str">
        <f t="shared" si="297"/>
        <v>36</v>
      </c>
      <c r="R1723" t="str">
        <f t="shared" si="298"/>
        <v>Tarifs conventionnels assurance maladie</v>
      </c>
      <c r="U1723" t="str">
        <f t="shared" si="296"/>
        <v>750050759</v>
      </c>
    </row>
    <row r="1724" spans="1:21" x14ac:dyDescent="0.3">
      <c r="A1724" t="str">
        <f>"620032474"</f>
        <v>620032474</v>
      </c>
      <c r="B1724" t="str">
        <f>"775 685 316 01569"</f>
        <v>775 685 316 01569</v>
      </c>
      <c r="D1724" t="str">
        <f>"CSP FILIERIS DE LEFOREST"</f>
        <v>CSP FILIERIS DE LEFOREST</v>
      </c>
      <c r="E1724" t="str">
        <f>"BÂTIMENT 2"</f>
        <v>BÂTIMENT 2</v>
      </c>
      <c r="F1724" t="str">
        <f>"206 RESIDENCE DES HOUBLONS D'OR"</f>
        <v>206 RESIDENCE DES HOUBLONS D'OR</v>
      </c>
      <c r="H1724" t="str">
        <f>"62790"</f>
        <v>62790</v>
      </c>
      <c r="I1724" t="str">
        <f>"LEFOREST"</f>
        <v>LEFOREST</v>
      </c>
      <c r="J1724" t="str">
        <f>"03 21 77 84 78 "</f>
        <v xml:space="preserve">03 21 77 84 78 </v>
      </c>
      <c r="L1724" s="1">
        <v>42607</v>
      </c>
      <c r="M1724" t="str">
        <f t="shared" si="286"/>
        <v>124</v>
      </c>
      <c r="N1724" t="str">
        <f t="shared" si="287"/>
        <v>Centre de Santé</v>
      </c>
      <c r="O1724" t="str">
        <f t="shared" si="294"/>
        <v>41</v>
      </c>
      <c r="P1724" t="str">
        <f t="shared" si="295"/>
        <v>Régime Spécial de Sécurité Sociale</v>
      </c>
      <c r="Q1724" t="str">
        <f t="shared" si="297"/>
        <v>36</v>
      </c>
      <c r="R1724" t="str">
        <f t="shared" si="298"/>
        <v>Tarifs conventionnels assurance maladie</v>
      </c>
      <c r="U1724" t="str">
        <f t="shared" si="296"/>
        <v>750050759</v>
      </c>
    </row>
    <row r="1725" spans="1:21" x14ac:dyDescent="0.3">
      <c r="A1725" t="str">
        <f>"620032482"</f>
        <v>620032482</v>
      </c>
      <c r="B1725" t="str">
        <f>"775 685 316 02096"</f>
        <v>775 685 316 02096</v>
      </c>
      <c r="D1725" t="str">
        <f>"CSP FILIERIS DE MARLES LES MINES"</f>
        <v>CSP FILIERIS DE MARLES LES MINES</v>
      </c>
      <c r="F1725" t="str">
        <f>"RUE D'AMIENS"</f>
        <v>RUE D'AMIENS</v>
      </c>
      <c r="H1725" t="str">
        <f>"62540"</f>
        <v>62540</v>
      </c>
      <c r="I1725" t="str">
        <f>"MARLES LES MINES"</f>
        <v>MARLES LES MINES</v>
      </c>
      <c r="J1725" t="str">
        <f>"03 21 52 57 56 "</f>
        <v xml:space="preserve">03 21 52 57 56 </v>
      </c>
      <c r="L1725" s="1">
        <v>42607</v>
      </c>
      <c r="M1725" t="str">
        <f t="shared" si="286"/>
        <v>124</v>
      </c>
      <c r="N1725" t="str">
        <f t="shared" si="287"/>
        <v>Centre de Santé</v>
      </c>
      <c r="O1725" t="str">
        <f t="shared" si="294"/>
        <v>41</v>
      </c>
      <c r="P1725" t="str">
        <f t="shared" si="295"/>
        <v>Régime Spécial de Sécurité Sociale</v>
      </c>
      <c r="Q1725" t="str">
        <f t="shared" si="297"/>
        <v>36</v>
      </c>
      <c r="R1725" t="str">
        <f t="shared" si="298"/>
        <v>Tarifs conventionnels assurance maladie</v>
      </c>
      <c r="U1725" t="str">
        <f t="shared" si="296"/>
        <v>750050759</v>
      </c>
    </row>
    <row r="1726" spans="1:21" x14ac:dyDescent="0.3">
      <c r="A1726" t="str">
        <f>"620032490"</f>
        <v>620032490</v>
      </c>
      <c r="B1726" t="str">
        <f>"775 685 316 01650"</f>
        <v>775 685 316 01650</v>
      </c>
      <c r="D1726" t="str">
        <f>"CSP FILIERIS DE LENS"</f>
        <v>CSP FILIERIS DE LENS</v>
      </c>
      <c r="F1726" t="str">
        <f>"RUE DE ROME"</f>
        <v>RUE DE ROME</v>
      </c>
      <c r="H1726" t="str">
        <f>"62300"</f>
        <v>62300</v>
      </c>
      <c r="I1726" t="str">
        <f>"LENS"</f>
        <v>LENS</v>
      </c>
      <c r="J1726" t="str">
        <f>"03 21 70 04 72 "</f>
        <v xml:space="preserve">03 21 70 04 72 </v>
      </c>
      <c r="L1726" s="1">
        <v>42607</v>
      </c>
      <c r="M1726" t="str">
        <f t="shared" si="286"/>
        <v>124</v>
      </c>
      <c r="N1726" t="str">
        <f t="shared" si="287"/>
        <v>Centre de Santé</v>
      </c>
      <c r="O1726" t="str">
        <f t="shared" si="294"/>
        <v>41</v>
      </c>
      <c r="P1726" t="str">
        <f t="shared" si="295"/>
        <v>Régime Spécial de Sécurité Sociale</v>
      </c>
      <c r="Q1726" t="str">
        <f t="shared" si="297"/>
        <v>36</v>
      </c>
      <c r="R1726" t="str">
        <f t="shared" si="298"/>
        <v>Tarifs conventionnels assurance maladie</v>
      </c>
      <c r="U1726" t="str">
        <f t="shared" si="296"/>
        <v>750050759</v>
      </c>
    </row>
    <row r="1727" spans="1:21" x14ac:dyDescent="0.3">
      <c r="A1727" t="str">
        <f>"620032508"</f>
        <v>620032508</v>
      </c>
      <c r="B1727" t="str">
        <f>"775 685 316 01163"</f>
        <v>775 685 316 01163</v>
      </c>
      <c r="D1727" t="str">
        <f>"CSP FILIERIS DE NOYELLES SOUS LENS"</f>
        <v>CSP FILIERIS DE NOYELLES SOUS LENS</v>
      </c>
      <c r="F1727" t="str">
        <f>"760 RUE DE COURTAIGNE"</f>
        <v>760 RUE DE COURTAIGNE</v>
      </c>
      <c r="H1727" t="str">
        <f>"62221"</f>
        <v>62221</v>
      </c>
      <c r="I1727" t="str">
        <f>"NOYELLES SOUS LENS"</f>
        <v>NOYELLES SOUS LENS</v>
      </c>
      <c r="J1727" t="str">
        <f>"03 21 78 33 75 "</f>
        <v xml:space="preserve">03 21 78 33 75 </v>
      </c>
      <c r="L1727" s="1">
        <v>42607</v>
      </c>
      <c r="M1727" t="str">
        <f t="shared" si="286"/>
        <v>124</v>
      </c>
      <c r="N1727" t="str">
        <f t="shared" si="287"/>
        <v>Centre de Santé</v>
      </c>
      <c r="O1727" t="str">
        <f t="shared" si="294"/>
        <v>41</v>
      </c>
      <c r="P1727" t="str">
        <f t="shared" si="295"/>
        <v>Régime Spécial de Sécurité Sociale</v>
      </c>
      <c r="Q1727" t="str">
        <f t="shared" si="297"/>
        <v>36</v>
      </c>
      <c r="R1727" t="str">
        <f t="shared" si="298"/>
        <v>Tarifs conventionnels assurance maladie</v>
      </c>
      <c r="U1727" t="str">
        <f t="shared" si="296"/>
        <v>750050759</v>
      </c>
    </row>
    <row r="1728" spans="1:21" x14ac:dyDescent="0.3">
      <c r="A1728" t="str">
        <f>"220023006"</f>
        <v>220023006</v>
      </c>
      <c r="B1728" t="str">
        <f>"212 200 398 00106"</f>
        <v>212 200 398 00106</v>
      </c>
      <c r="D1728" t="str">
        <f>"CDS CENTRE MEDICAL DE LA CHEZE"</f>
        <v>CDS CENTRE MEDICAL DE LA CHEZE</v>
      </c>
      <c r="F1728" t="str">
        <f>"PASSAGE ANDRE JOUET"</f>
        <v>PASSAGE ANDRE JOUET</v>
      </c>
      <c r="H1728" t="str">
        <f>"22210"</f>
        <v>22210</v>
      </c>
      <c r="I1728" t="str">
        <f>"LA CHEZE"</f>
        <v>LA CHEZE</v>
      </c>
      <c r="J1728" t="str">
        <f>"02 96 56 72 90 "</f>
        <v xml:space="preserve">02 96 56 72 90 </v>
      </c>
      <c r="L1728" s="1">
        <v>42598</v>
      </c>
      <c r="M1728" t="str">
        <f t="shared" si="286"/>
        <v>124</v>
      </c>
      <c r="N1728" t="str">
        <f t="shared" si="287"/>
        <v>Centre de Santé</v>
      </c>
      <c r="O1728" t="str">
        <f>"03"</f>
        <v>03</v>
      </c>
      <c r="P1728" t="str">
        <f>"Commune"</f>
        <v>Commune</v>
      </c>
      <c r="Q1728" t="str">
        <f t="shared" si="297"/>
        <v>36</v>
      </c>
      <c r="R1728" t="str">
        <f t="shared" si="298"/>
        <v>Tarifs conventionnels assurance maladie</v>
      </c>
      <c r="U1728" t="str">
        <f>"220022990"</f>
        <v>220022990</v>
      </c>
    </row>
    <row r="1729" spans="1:21" x14ac:dyDescent="0.3">
      <c r="A1729" t="str">
        <f>"920030244"</f>
        <v>920030244</v>
      </c>
      <c r="D1729" t="str">
        <f>"CDS MEDICO-DENTAIRE DE NANTERRE"</f>
        <v>CDS MEDICO-DENTAIRE DE NANTERRE</v>
      </c>
      <c r="E1729" t="str">
        <f>"QUARTIER DE L'UNIVERSITÉ"</f>
        <v>QUARTIER DE L'UNIVERSITÉ</v>
      </c>
      <c r="F1729" t="str">
        <f>"468 BOULEVARD DES PROVINCES FRANCAISES"</f>
        <v>468 BOULEVARD DES PROVINCES FRANCAISES</v>
      </c>
      <c r="H1729" t="str">
        <f>"92000"</f>
        <v>92000</v>
      </c>
      <c r="I1729" t="str">
        <f>"NANTERRE"</f>
        <v>NANTERRE</v>
      </c>
      <c r="L1729" s="1">
        <v>42593</v>
      </c>
      <c r="M1729" t="str">
        <f t="shared" si="286"/>
        <v>124</v>
      </c>
      <c r="N1729" t="str">
        <f t="shared" si="287"/>
        <v>Centre de Santé</v>
      </c>
      <c r="O1729" t="str">
        <f t="shared" ref="O1729:O1736" si="299">"60"</f>
        <v>60</v>
      </c>
      <c r="P1729" t="str">
        <f t="shared" ref="P1729:P1736" si="300">"Association Loi 1901 non Reconnue d'Utilité Publique"</f>
        <v>Association Loi 1901 non Reconnue d'Utilité Publique</v>
      </c>
      <c r="Q1729" t="str">
        <f t="shared" si="297"/>
        <v>36</v>
      </c>
      <c r="R1729" t="str">
        <f t="shared" si="298"/>
        <v>Tarifs conventionnels assurance maladie</v>
      </c>
      <c r="U1729" t="str">
        <f>"750058851"</f>
        <v>750058851</v>
      </c>
    </row>
    <row r="1730" spans="1:21" x14ac:dyDescent="0.3">
      <c r="A1730" t="str">
        <f>"130045552"</f>
        <v>130045552</v>
      </c>
      <c r="B1730" t="str">
        <f>"819 306 242 00010"</f>
        <v>819 306 242 00010</v>
      </c>
      <c r="D1730" t="str">
        <f>"CDS ALLODENT SALON"</f>
        <v>CDS ALLODENT SALON</v>
      </c>
      <c r="E1730" t="str">
        <f>"RÉSIDENCE HESTIA"</f>
        <v>RÉSIDENCE HESTIA</v>
      </c>
      <c r="F1730" t="str">
        <f>"28 BOULEVARD LOUIS PASQUET"</f>
        <v>28 BOULEVARD LOUIS PASQUET</v>
      </c>
      <c r="H1730" t="str">
        <f>"13300"</f>
        <v>13300</v>
      </c>
      <c r="I1730" t="str">
        <f>"SALON DE PROVENCE"</f>
        <v>SALON DE PROVENCE</v>
      </c>
      <c r="J1730" t="str">
        <f>"04 90 42 42 43 "</f>
        <v xml:space="preserve">04 90 42 42 43 </v>
      </c>
      <c r="L1730" s="1">
        <v>42587</v>
      </c>
      <c r="M1730" t="str">
        <f t="shared" ref="M1730:M1793" si="301">"124"</f>
        <v>124</v>
      </c>
      <c r="N1730" t="str">
        <f t="shared" ref="N1730:N1793" si="302">"Centre de Santé"</f>
        <v>Centre de Santé</v>
      </c>
      <c r="O1730" t="str">
        <f t="shared" si="299"/>
        <v>60</v>
      </c>
      <c r="P1730" t="str">
        <f t="shared" si="300"/>
        <v>Association Loi 1901 non Reconnue d'Utilité Publique</v>
      </c>
      <c r="Q1730" t="str">
        <f t="shared" si="297"/>
        <v>36</v>
      </c>
      <c r="R1730" t="str">
        <f t="shared" si="298"/>
        <v>Tarifs conventionnels assurance maladie</v>
      </c>
      <c r="U1730" t="str">
        <f>"130045545"</f>
        <v>130045545</v>
      </c>
    </row>
    <row r="1731" spans="1:21" x14ac:dyDescent="0.3">
      <c r="A1731" t="str">
        <f>"930026778"</f>
        <v>930026778</v>
      </c>
      <c r="B1731" t="str">
        <f>"821 008 075 00011"</f>
        <v>821 008 075 00011</v>
      </c>
      <c r="D1731" t="str">
        <f>"CDS MEDICO-DENTAIRE PORTE DES LILAS"</f>
        <v>CDS MEDICO-DENTAIRE PORTE DES LILAS</v>
      </c>
      <c r="F1731" t="str">
        <f>"42 RUE DE PARIS"</f>
        <v>42 RUE DE PARIS</v>
      </c>
      <c r="H1731" t="str">
        <f>"93260"</f>
        <v>93260</v>
      </c>
      <c r="I1731" t="str">
        <f>"LES LILAS"</f>
        <v>LES LILAS</v>
      </c>
      <c r="K1731" t="str">
        <f>"01 40 86 57 81"</f>
        <v>01 40 86 57 81</v>
      </c>
      <c r="L1731" s="1">
        <v>42580</v>
      </c>
      <c r="M1731" t="str">
        <f t="shared" si="301"/>
        <v>124</v>
      </c>
      <c r="N1731" t="str">
        <f t="shared" si="302"/>
        <v>Centre de Santé</v>
      </c>
      <c r="O1731" t="str">
        <f t="shared" si="299"/>
        <v>60</v>
      </c>
      <c r="P1731" t="str">
        <f t="shared" si="300"/>
        <v>Association Loi 1901 non Reconnue d'Utilité Publique</v>
      </c>
      <c r="Q1731" t="str">
        <f t="shared" si="297"/>
        <v>36</v>
      </c>
      <c r="R1731" t="str">
        <f t="shared" si="298"/>
        <v>Tarifs conventionnels assurance maladie</v>
      </c>
      <c r="U1731" t="str">
        <f>"930026760"</f>
        <v>930026760</v>
      </c>
    </row>
    <row r="1732" spans="1:21" x14ac:dyDescent="0.3">
      <c r="A1732" t="str">
        <f>"930026794"</f>
        <v>930026794</v>
      </c>
      <c r="B1732" t="str">
        <f>"813 955 259 00029"</f>
        <v>813 955 259 00029</v>
      </c>
      <c r="D1732" t="str">
        <f>"CDS MEDICO DENTAIRE SAINT OUEN"</f>
        <v>CDS MEDICO DENTAIRE SAINT OUEN</v>
      </c>
      <c r="E1732" t="str">
        <f>"ILOT D2 ZAC DES DOCKS"</f>
        <v>ILOT D2 ZAC DES DOCKS</v>
      </c>
      <c r="F1732" t="str">
        <f>"COUR DES BATELIERS"</f>
        <v>COUR DES BATELIERS</v>
      </c>
      <c r="H1732" t="str">
        <f>"93400"</f>
        <v>93400</v>
      </c>
      <c r="I1732" t="str">
        <f>"ST OUEN SUR SEINE"</f>
        <v>ST OUEN SUR SEINE</v>
      </c>
      <c r="L1732" s="1">
        <v>42580</v>
      </c>
      <c r="M1732" t="str">
        <f t="shared" si="301"/>
        <v>124</v>
      </c>
      <c r="N1732" t="str">
        <f t="shared" si="302"/>
        <v>Centre de Santé</v>
      </c>
      <c r="O1732" t="str">
        <f t="shared" si="299"/>
        <v>60</v>
      </c>
      <c r="P1732" t="str">
        <f t="shared" si="300"/>
        <v>Association Loi 1901 non Reconnue d'Utilité Publique</v>
      </c>
      <c r="Q1732" t="str">
        <f t="shared" si="297"/>
        <v>36</v>
      </c>
      <c r="R1732" t="str">
        <f t="shared" si="298"/>
        <v>Tarifs conventionnels assurance maladie</v>
      </c>
      <c r="U1732" t="str">
        <f>"930026216"</f>
        <v>930026216</v>
      </c>
    </row>
    <row r="1733" spans="1:21" x14ac:dyDescent="0.3">
      <c r="A1733" t="str">
        <f>"750058760"</f>
        <v>750058760</v>
      </c>
      <c r="D1733" t="str">
        <f>"CDS DENTAIRE PARIS HOTEL DE VILLE"</f>
        <v>CDS DENTAIRE PARIS HOTEL DE VILLE</v>
      </c>
      <c r="F1733" t="str">
        <f>"23 RUE DU RENARD"</f>
        <v>23 RUE DU RENARD</v>
      </c>
      <c r="H1733" t="str">
        <f>"75004"</f>
        <v>75004</v>
      </c>
      <c r="I1733" t="str">
        <f>"PARIS"</f>
        <v>PARIS</v>
      </c>
      <c r="L1733" s="1">
        <v>42570</v>
      </c>
      <c r="M1733" t="str">
        <f t="shared" si="301"/>
        <v>124</v>
      </c>
      <c r="N1733" t="str">
        <f t="shared" si="302"/>
        <v>Centre de Santé</v>
      </c>
      <c r="O1733" t="str">
        <f t="shared" si="299"/>
        <v>60</v>
      </c>
      <c r="P1733" t="str">
        <f t="shared" si="300"/>
        <v>Association Loi 1901 non Reconnue d'Utilité Publique</v>
      </c>
      <c r="Q1733" t="str">
        <f t="shared" si="297"/>
        <v>36</v>
      </c>
      <c r="R1733" t="str">
        <f t="shared" si="298"/>
        <v>Tarifs conventionnels assurance maladie</v>
      </c>
      <c r="U1733" t="str">
        <f>"750058752"</f>
        <v>750058752</v>
      </c>
    </row>
    <row r="1734" spans="1:21" x14ac:dyDescent="0.3">
      <c r="A1734" t="str">
        <f>"940022817"</f>
        <v>940022817</v>
      </c>
      <c r="B1734" t="str">
        <f>"821 255 544 00016"</f>
        <v>821 255 544 00016</v>
      </c>
      <c r="D1734" t="str">
        <f>"CDS MEDICO DENTAIRE LA VARENNE"</f>
        <v>CDS MEDICO DENTAIRE LA VARENNE</v>
      </c>
      <c r="F1734" t="str">
        <f>"74 AVENUE DU BAC"</f>
        <v>74 AVENUE DU BAC</v>
      </c>
      <c r="G1734" t="str">
        <f>"LA VARENNE SAINT HILAIRE"</f>
        <v>LA VARENNE SAINT HILAIRE</v>
      </c>
      <c r="H1734" t="str">
        <f>"94100"</f>
        <v>94100</v>
      </c>
      <c r="I1734" t="str">
        <f>"ST MAUR DES FOSSES"</f>
        <v>ST MAUR DES FOSSES</v>
      </c>
      <c r="L1734" s="1">
        <v>42569</v>
      </c>
      <c r="M1734" t="str">
        <f t="shared" si="301"/>
        <v>124</v>
      </c>
      <c r="N1734" t="str">
        <f t="shared" si="302"/>
        <v>Centre de Santé</v>
      </c>
      <c r="O1734" t="str">
        <f t="shared" si="299"/>
        <v>60</v>
      </c>
      <c r="P1734" t="str">
        <f t="shared" si="300"/>
        <v>Association Loi 1901 non Reconnue d'Utilité Publique</v>
      </c>
      <c r="Q1734" t="str">
        <f t="shared" si="297"/>
        <v>36</v>
      </c>
      <c r="R1734" t="str">
        <f t="shared" si="298"/>
        <v>Tarifs conventionnels assurance maladie</v>
      </c>
      <c r="U1734" t="str">
        <f>"940022809"</f>
        <v>940022809</v>
      </c>
    </row>
    <row r="1735" spans="1:21" x14ac:dyDescent="0.3">
      <c r="A1735" t="str">
        <f>"940022882"</f>
        <v>940022882</v>
      </c>
      <c r="B1735" t="str">
        <f>"822 569 836 00015"</f>
        <v>822 569 836 00015</v>
      </c>
      <c r="D1735" t="str">
        <f>"CDS DENTAIRE CHOISY SOURIRE"</f>
        <v>CDS DENTAIRE CHOISY SOURIRE</v>
      </c>
      <c r="F1735" t="str">
        <f>"5 RUE DE L EGLISE"</f>
        <v>5 RUE DE L EGLISE</v>
      </c>
      <c r="H1735" t="str">
        <f>"94600"</f>
        <v>94600</v>
      </c>
      <c r="I1735" t="str">
        <f>"CHOISY LE ROI"</f>
        <v>CHOISY LE ROI</v>
      </c>
      <c r="L1735" s="1">
        <v>42569</v>
      </c>
      <c r="M1735" t="str">
        <f t="shared" si="301"/>
        <v>124</v>
      </c>
      <c r="N1735" t="str">
        <f t="shared" si="302"/>
        <v>Centre de Santé</v>
      </c>
      <c r="O1735" t="str">
        <f t="shared" si="299"/>
        <v>60</v>
      </c>
      <c r="P1735" t="str">
        <f t="shared" si="300"/>
        <v>Association Loi 1901 non Reconnue d'Utilité Publique</v>
      </c>
      <c r="Q1735" t="str">
        <f t="shared" si="297"/>
        <v>36</v>
      </c>
      <c r="R1735" t="str">
        <f t="shared" si="298"/>
        <v>Tarifs conventionnels assurance maladie</v>
      </c>
      <c r="U1735" t="str">
        <f>"940022874"</f>
        <v>940022874</v>
      </c>
    </row>
    <row r="1736" spans="1:21" x14ac:dyDescent="0.3">
      <c r="A1736" t="str">
        <f>"130045438"</f>
        <v>130045438</v>
      </c>
      <c r="B1736" t="str">
        <f>"815 313 382 00013"</f>
        <v>815 313 382 00013</v>
      </c>
      <c r="D1736" t="str">
        <f>"CDS DENTAIRE SAINTE MARGUERITE"</f>
        <v>CDS DENTAIRE SAINTE MARGUERITE</v>
      </c>
      <c r="F1736" t="str">
        <f>"92 BOULEVARD SAINTE MARGUERITE"</f>
        <v>92 BOULEVARD SAINTE MARGUERITE</v>
      </c>
      <c r="H1736" t="str">
        <f>"13009"</f>
        <v>13009</v>
      </c>
      <c r="I1736" t="str">
        <f>"MARSEILLE"</f>
        <v>MARSEILLE</v>
      </c>
      <c r="J1736" t="str">
        <f>"04 91 30 15 15 "</f>
        <v xml:space="preserve">04 91 30 15 15 </v>
      </c>
      <c r="K1736" t="str">
        <f>"04 91 30 12 12"</f>
        <v>04 91 30 12 12</v>
      </c>
      <c r="L1736" s="1">
        <v>42557</v>
      </c>
      <c r="M1736" t="str">
        <f t="shared" si="301"/>
        <v>124</v>
      </c>
      <c r="N1736" t="str">
        <f t="shared" si="302"/>
        <v>Centre de Santé</v>
      </c>
      <c r="O1736" t="str">
        <f t="shared" si="299"/>
        <v>60</v>
      </c>
      <c r="P1736" t="str">
        <f t="shared" si="300"/>
        <v>Association Loi 1901 non Reconnue d'Utilité Publique</v>
      </c>
      <c r="Q1736" t="str">
        <f t="shared" si="297"/>
        <v>36</v>
      </c>
      <c r="R1736" t="str">
        <f t="shared" si="298"/>
        <v>Tarifs conventionnels assurance maladie</v>
      </c>
      <c r="U1736" t="str">
        <f>"130045420"</f>
        <v>130045420</v>
      </c>
    </row>
    <row r="1737" spans="1:21" x14ac:dyDescent="0.3">
      <c r="A1737" t="str">
        <f>"470012428"</f>
        <v>470012428</v>
      </c>
      <c r="B1737" t="str">
        <f>"782 152 979 00368"</f>
        <v>782 152 979 00368</v>
      </c>
      <c r="D1737" t="str">
        <f>"CENTRE DE SANTE DENTAIRE MUTUALISTE"</f>
        <v>CENTRE DE SANTE DENTAIRE MUTUALISTE</v>
      </c>
      <c r="F1737" t="str">
        <f>"259 AVENUE DU GENERAL LECLERC"</f>
        <v>259 AVENUE DU GENERAL LECLERC</v>
      </c>
      <c r="H1737" t="str">
        <f>"47000"</f>
        <v>47000</v>
      </c>
      <c r="I1737" t="str">
        <f>"AGEN"</f>
        <v>AGEN</v>
      </c>
      <c r="J1737" t="str">
        <f>"05 53 77 76 75 "</f>
        <v xml:space="preserve">05 53 77 76 75 </v>
      </c>
      <c r="K1737" t="str">
        <f>"05 53 77 76 90"</f>
        <v>05 53 77 76 90</v>
      </c>
      <c r="L1737" s="1">
        <v>42554</v>
      </c>
      <c r="M1737" t="str">
        <f t="shared" si="301"/>
        <v>124</v>
      </c>
      <c r="N1737" t="str">
        <f t="shared" si="302"/>
        <v>Centre de Santé</v>
      </c>
      <c r="O1737" t="str">
        <f>"47"</f>
        <v>47</v>
      </c>
      <c r="P1737" t="str">
        <f>"Société Mutualiste"</f>
        <v>Société Mutualiste</v>
      </c>
      <c r="Q1737" t="str">
        <f t="shared" si="297"/>
        <v>36</v>
      </c>
      <c r="R1737" t="str">
        <f t="shared" si="298"/>
        <v>Tarifs conventionnels assurance maladie</v>
      </c>
      <c r="U1737" t="str">
        <f>"470009598"</f>
        <v>470009598</v>
      </c>
    </row>
    <row r="1738" spans="1:21" x14ac:dyDescent="0.3">
      <c r="A1738" t="str">
        <f>"380019877"</f>
        <v>380019877</v>
      </c>
      <c r="B1738" t="str">
        <f>"817 735 202 00019"</f>
        <v>817 735 202 00019</v>
      </c>
      <c r="D1738" t="str">
        <f>"CENTRE DE SANTE SUBLIM'DENT MOIRANS"</f>
        <v>CENTRE DE SANTE SUBLIM'DENT MOIRANS</v>
      </c>
      <c r="F1738" t="str">
        <f>"105 RUE DE LA REPUBLIQUE"</f>
        <v>105 RUE DE LA REPUBLIQUE</v>
      </c>
      <c r="H1738" t="str">
        <f>"38430"</f>
        <v>38430</v>
      </c>
      <c r="I1738" t="str">
        <f>"MOIRANS"</f>
        <v>MOIRANS</v>
      </c>
      <c r="J1738" t="str">
        <f>"06 80 61 72 44 "</f>
        <v xml:space="preserve">06 80 61 72 44 </v>
      </c>
      <c r="L1738" s="1">
        <v>42552</v>
      </c>
      <c r="M1738" t="str">
        <f t="shared" si="301"/>
        <v>124</v>
      </c>
      <c r="N1738" t="str">
        <f t="shared" si="302"/>
        <v>Centre de Santé</v>
      </c>
      <c r="O1738" t="str">
        <f>"60"</f>
        <v>60</v>
      </c>
      <c r="P1738" t="str">
        <f>"Association Loi 1901 non Reconnue d'Utilité Publique"</f>
        <v>Association Loi 1901 non Reconnue d'Utilité Publique</v>
      </c>
      <c r="Q1738" t="str">
        <f t="shared" si="297"/>
        <v>36</v>
      </c>
      <c r="R1738" t="str">
        <f t="shared" si="298"/>
        <v>Tarifs conventionnels assurance maladie</v>
      </c>
      <c r="U1738" t="str">
        <f>"380019869"</f>
        <v>380019869</v>
      </c>
    </row>
    <row r="1739" spans="1:21" x14ac:dyDescent="0.3">
      <c r="A1739" t="str">
        <f>"970410494"</f>
        <v>970410494</v>
      </c>
      <c r="B1739" t="str">
        <f>"818 046 138 00025"</f>
        <v>818 046 138 00025</v>
      </c>
      <c r="D1739" t="str">
        <f>"CENTRE DE SANTÉ DENTAIRE DENTAL’URG"</f>
        <v>CENTRE DE SANTÉ DENTAIRE DENTAL’URG</v>
      </c>
      <c r="F1739" t="str">
        <f>"125 ALLEE DE MONTAIGNAC"</f>
        <v>125 ALLEE DE MONTAIGNAC</v>
      </c>
      <c r="H1739" t="str">
        <f>"97427"</f>
        <v>97427</v>
      </c>
      <c r="I1739" t="str">
        <f>"L ETANG SALE"</f>
        <v>L ETANG SALE</v>
      </c>
      <c r="L1739" s="1">
        <v>42544</v>
      </c>
      <c r="M1739" t="str">
        <f t="shared" si="301"/>
        <v>124</v>
      </c>
      <c r="N1739" t="str">
        <f t="shared" si="302"/>
        <v>Centre de Santé</v>
      </c>
      <c r="O1739" t="str">
        <f>"60"</f>
        <v>60</v>
      </c>
      <c r="P1739" t="str">
        <f>"Association Loi 1901 non Reconnue d'Utilité Publique"</f>
        <v>Association Loi 1901 non Reconnue d'Utilité Publique</v>
      </c>
      <c r="Q1739" t="str">
        <f t="shared" si="297"/>
        <v>36</v>
      </c>
      <c r="R1739" t="str">
        <f t="shared" si="298"/>
        <v>Tarifs conventionnels assurance maladie</v>
      </c>
      <c r="U1739" t="str">
        <f>"970410486"</f>
        <v>970410486</v>
      </c>
    </row>
    <row r="1740" spans="1:21" x14ac:dyDescent="0.3">
      <c r="A1740" t="str">
        <f>"130044894"</f>
        <v>130044894</v>
      </c>
      <c r="B1740" t="str">
        <f>"261 300 073 00382"</f>
        <v>261 300 073 00382</v>
      </c>
      <c r="D1740" t="str">
        <f>"CSP ANDRE ROUSSIN"</f>
        <v>CSP ANDRE ROUSSIN</v>
      </c>
      <c r="F1740" t="str">
        <f>"50 AVENUE ANDRE ROUSSIN"</f>
        <v>50 AVENUE ANDRE ROUSSIN</v>
      </c>
      <c r="H1740" t="str">
        <f>"13016"</f>
        <v>13016</v>
      </c>
      <c r="I1740" t="str">
        <f>"MARSEILLE"</f>
        <v>MARSEILLE</v>
      </c>
      <c r="J1740" t="str">
        <f>"04 91 96 98 04 "</f>
        <v xml:space="preserve">04 91 96 98 04 </v>
      </c>
      <c r="K1740" t="str">
        <f>"04 91 66 98 02"</f>
        <v>04 91 66 98 02</v>
      </c>
      <c r="L1740" s="1">
        <v>42541</v>
      </c>
      <c r="M1740" t="str">
        <f t="shared" si="301"/>
        <v>124</v>
      </c>
      <c r="N1740" t="str">
        <f t="shared" si="302"/>
        <v>Centre de Santé</v>
      </c>
      <c r="O1740" t="str">
        <f>"11"</f>
        <v>11</v>
      </c>
      <c r="P1740" t="str">
        <f>"Etablissement Public Départemental d'Hospitalisation"</f>
        <v>Etablissement Public Départemental d'Hospitalisation</v>
      </c>
      <c r="Q1740" t="str">
        <f t="shared" si="297"/>
        <v>36</v>
      </c>
      <c r="R1740" t="str">
        <f t="shared" si="298"/>
        <v>Tarifs conventionnels assurance maladie</v>
      </c>
      <c r="U1740" t="str">
        <f>"130780554"</f>
        <v>130780554</v>
      </c>
    </row>
    <row r="1741" spans="1:21" x14ac:dyDescent="0.3">
      <c r="A1741" t="str">
        <f>"940022791"</f>
        <v>940022791</v>
      </c>
      <c r="B1741" t="str">
        <f>"820 806 719 00028"</f>
        <v>820 806 719 00028</v>
      </c>
      <c r="D1741" t="str">
        <f>"CDS DENTAIRE VAL DE FONTENAY"</f>
        <v>CDS DENTAIRE VAL DE FONTENAY</v>
      </c>
      <c r="F1741" t="str">
        <f>"1 PLACE DU GENERAL DE GAULLE"</f>
        <v>1 PLACE DU GENERAL DE GAULLE</v>
      </c>
      <c r="H1741" t="str">
        <f>"94120"</f>
        <v>94120</v>
      </c>
      <c r="I1741" t="str">
        <f>"FONTENAY SOUS BOIS"</f>
        <v>FONTENAY SOUS BOIS</v>
      </c>
      <c r="L1741" s="1">
        <v>42541</v>
      </c>
      <c r="M1741" t="str">
        <f t="shared" si="301"/>
        <v>124</v>
      </c>
      <c r="N1741" t="str">
        <f t="shared" si="302"/>
        <v>Centre de Santé</v>
      </c>
      <c r="O1741" t="str">
        <f>"60"</f>
        <v>60</v>
      </c>
      <c r="P1741" t="str">
        <f>"Association Loi 1901 non Reconnue d'Utilité Publique"</f>
        <v>Association Loi 1901 non Reconnue d'Utilité Publique</v>
      </c>
      <c r="Q1741" t="str">
        <f t="shared" si="297"/>
        <v>36</v>
      </c>
      <c r="R1741" t="str">
        <f t="shared" si="298"/>
        <v>Tarifs conventionnels assurance maladie</v>
      </c>
      <c r="U1741" t="str">
        <f>"940022783"</f>
        <v>940022783</v>
      </c>
    </row>
    <row r="1742" spans="1:21" x14ac:dyDescent="0.3">
      <c r="A1742" t="str">
        <f>"620032342"</f>
        <v>620032342</v>
      </c>
      <c r="B1742" t="str">
        <f>"775 685 316 01221"</f>
        <v>775 685 316 01221</v>
      </c>
      <c r="D1742" t="str">
        <f>"CSP FILIERIS DE ROUVROY"</f>
        <v>CSP FILIERIS DE ROUVROY</v>
      </c>
      <c r="F1742" t="str">
        <f>"BOULEVARD DE LA FOSSE 2"</f>
        <v>BOULEVARD DE LA FOSSE 2</v>
      </c>
      <c r="H1742" t="str">
        <f>"62320"</f>
        <v>62320</v>
      </c>
      <c r="I1742" t="str">
        <f>"ROUVROY"</f>
        <v>ROUVROY</v>
      </c>
      <c r="J1742" t="str">
        <f>"03 21 20 33 71 "</f>
        <v xml:space="preserve">03 21 20 33 71 </v>
      </c>
      <c r="L1742" s="1">
        <v>42536</v>
      </c>
      <c r="M1742" t="str">
        <f t="shared" si="301"/>
        <v>124</v>
      </c>
      <c r="N1742" t="str">
        <f t="shared" si="302"/>
        <v>Centre de Santé</v>
      </c>
      <c r="O1742" t="str">
        <f>"41"</f>
        <v>41</v>
      </c>
      <c r="P1742" t="str">
        <f>"Régime Spécial de Sécurité Sociale"</f>
        <v>Régime Spécial de Sécurité Sociale</v>
      </c>
      <c r="Q1742" t="str">
        <f t="shared" si="297"/>
        <v>36</v>
      </c>
      <c r="R1742" t="str">
        <f t="shared" si="298"/>
        <v>Tarifs conventionnels assurance maladie</v>
      </c>
      <c r="U1742" t="str">
        <f>"750050759"</f>
        <v>750050759</v>
      </c>
    </row>
    <row r="1743" spans="1:21" x14ac:dyDescent="0.3">
      <c r="A1743" t="str">
        <f>"620114322"</f>
        <v>620114322</v>
      </c>
      <c r="B1743" t="str">
        <f>"775 685 316 01684"</f>
        <v>775 685 316 01684</v>
      </c>
      <c r="D1743" t="str">
        <f>"CSP FILIERIS DE MÉRICOURT"</f>
        <v>CSP FILIERIS DE MÉRICOURT</v>
      </c>
      <c r="F1743" t="str">
        <f>"46 RUE JUSSIEU"</f>
        <v>46 RUE JUSSIEU</v>
      </c>
      <c r="H1743" t="str">
        <f>"62680"</f>
        <v>62680</v>
      </c>
      <c r="I1743" t="str">
        <f>"MERICOURT"</f>
        <v>MERICOURT</v>
      </c>
      <c r="J1743" t="str">
        <f>"03 21 40 58 70 "</f>
        <v xml:space="preserve">03 21 40 58 70 </v>
      </c>
      <c r="L1743" s="1">
        <v>42536</v>
      </c>
      <c r="M1743" t="str">
        <f t="shared" si="301"/>
        <v>124</v>
      </c>
      <c r="N1743" t="str">
        <f t="shared" si="302"/>
        <v>Centre de Santé</v>
      </c>
      <c r="O1743" t="str">
        <f>"41"</f>
        <v>41</v>
      </c>
      <c r="P1743" t="str">
        <f>"Régime Spécial de Sécurité Sociale"</f>
        <v>Régime Spécial de Sécurité Sociale</v>
      </c>
      <c r="Q1743" t="str">
        <f t="shared" si="297"/>
        <v>36</v>
      </c>
      <c r="R1743" t="str">
        <f t="shared" si="298"/>
        <v>Tarifs conventionnels assurance maladie</v>
      </c>
      <c r="U1743" t="str">
        <f>"750050759"</f>
        <v>750050759</v>
      </c>
    </row>
    <row r="1744" spans="1:21" x14ac:dyDescent="0.3">
      <c r="A1744" t="str">
        <f>"620114769"</f>
        <v>620114769</v>
      </c>
      <c r="B1744" t="str">
        <f>"775 685 316 01007"</f>
        <v>775 685 316 01007</v>
      </c>
      <c r="D1744" t="str">
        <f>"CSP FILIERIS DE  NOYELLES GODAULT"</f>
        <v>CSP FILIERIS DE  NOYELLES GODAULT</v>
      </c>
      <c r="F1744" t="str">
        <f>"1 PLACE JEAN JAURÈS"</f>
        <v>1 PLACE JEAN JAURÈS</v>
      </c>
      <c r="H1744" t="str">
        <f>"62970"</f>
        <v>62970</v>
      </c>
      <c r="I1744" t="str">
        <f>"COURCELLES LES LENS"</f>
        <v>COURCELLES LES LENS</v>
      </c>
      <c r="J1744" t="str">
        <f>"03 21 08 69 70 "</f>
        <v xml:space="preserve">03 21 08 69 70 </v>
      </c>
      <c r="L1744" s="1">
        <v>42536</v>
      </c>
      <c r="M1744" t="str">
        <f t="shared" si="301"/>
        <v>124</v>
      </c>
      <c r="N1744" t="str">
        <f t="shared" si="302"/>
        <v>Centre de Santé</v>
      </c>
      <c r="O1744" t="str">
        <f>"41"</f>
        <v>41</v>
      </c>
      <c r="P1744" t="str">
        <f>"Régime Spécial de Sécurité Sociale"</f>
        <v>Régime Spécial de Sécurité Sociale</v>
      </c>
      <c r="Q1744" t="str">
        <f t="shared" si="297"/>
        <v>36</v>
      </c>
      <c r="R1744" t="str">
        <f t="shared" si="298"/>
        <v>Tarifs conventionnels assurance maladie</v>
      </c>
      <c r="U1744" t="str">
        <f>"750050759"</f>
        <v>750050759</v>
      </c>
    </row>
    <row r="1745" spans="1:21" x14ac:dyDescent="0.3">
      <c r="A1745" t="str">
        <f>"940022775"</f>
        <v>940022775</v>
      </c>
      <c r="D1745" t="str">
        <f>"CDS DENTAIRE VILLEJUIF"</f>
        <v>CDS DENTAIRE VILLEJUIF</v>
      </c>
      <c r="F1745" t="str">
        <f>"67 AVENUE DE STALINGRAD"</f>
        <v>67 AVENUE DE STALINGRAD</v>
      </c>
      <c r="H1745" t="str">
        <f>"94800"</f>
        <v>94800</v>
      </c>
      <c r="I1745" t="str">
        <f>"VILLEJUIF"</f>
        <v>VILLEJUIF</v>
      </c>
      <c r="J1745" t="str">
        <f>"06 07 26 25 76 "</f>
        <v xml:space="preserve">06 07 26 25 76 </v>
      </c>
      <c r="L1745" s="1">
        <v>42534</v>
      </c>
      <c r="M1745" t="str">
        <f t="shared" si="301"/>
        <v>124</v>
      </c>
      <c r="N1745" t="str">
        <f t="shared" si="302"/>
        <v>Centre de Santé</v>
      </c>
      <c r="O1745" t="str">
        <f>"60"</f>
        <v>60</v>
      </c>
      <c r="P1745" t="str">
        <f>"Association Loi 1901 non Reconnue d'Utilité Publique"</f>
        <v>Association Loi 1901 non Reconnue d'Utilité Publique</v>
      </c>
      <c r="Q1745" t="str">
        <f t="shared" si="297"/>
        <v>36</v>
      </c>
      <c r="R1745" t="str">
        <f t="shared" si="298"/>
        <v>Tarifs conventionnels assurance maladie</v>
      </c>
      <c r="U1745" t="str">
        <f>"750057440"</f>
        <v>750057440</v>
      </c>
    </row>
    <row r="1746" spans="1:21" x14ac:dyDescent="0.3">
      <c r="A1746" t="str">
        <f>"750058539"</f>
        <v>750058539</v>
      </c>
      <c r="B1746" t="str">
        <f>"817 731 888 00027"</f>
        <v>817 731 888 00027</v>
      </c>
      <c r="D1746" t="str">
        <f>"CDS DENTAIRE OPERA PYRAMIDES"</f>
        <v>CDS DENTAIRE OPERA PYRAMIDES</v>
      </c>
      <c r="F1746" t="str">
        <f>"13 AVENUE DE L OPERA"</f>
        <v>13 AVENUE DE L OPERA</v>
      </c>
      <c r="H1746" t="str">
        <f>"75001"</f>
        <v>75001</v>
      </c>
      <c r="I1746" t="str">
        <f>"PARIS"</f>
        <v>PARIS</v>
      </c>
      <c r="J1746" t="str">
        <f>"01 53 30 01 01 "</f>
        <v xml:space="preserve">01 53 30 01 01 </v>
      </c>
      <c r="K1746" t="str">
        <f>"01 53 30 01 01"</f>
        <v>01 53 30 01 01</v>
      </c>
      <c r="L1746" s="1">
        <v>42529</v>
      </c>
      <c r="M1746" t="str">
        <f t="shared" si="301"/>
        <v>124</v>
      </c>
      <c r="N1746" t="str">
        <f t="shared" si="302"/>
        <v>Centre de Santé</v>
      </c>
      <c r="O1746" t="str">
        <f>"60"</f>
        <v>60</v>
      </c>
      <c r="P1746" t="str">
        <f>"Association Loi 1901 non Reconnue d'Utilité Publique"</f>
        <v>Association Loi 1901 non Reconnue d'Utilité Publique</v>
      </c>
      <c r="Q1746" t="str">
        <f t="shared" si="297"/>
        <v>36</v>
      </c>
      <c r="R1746" t="str">
        <f t="shared" si="298"/>
        <v>Tarifs conventionnels assurance maladie</v>
      </c>
      <c r="U1746" t="str">
        <f>"750058521"</f>
        <v>750058521</v>
      </c>
    </row>
    <row r="1747" spans="1:21" x14ac:dyDescent="0.3">
      <c r="A1747" t="str">
        <f>"020016614"</f>
        <v>020016614</v>
      </c>
      <c r="D1747" t="str">
        <f>"A2ST SOISSONS"</f>
        <v>A2ST SOISSONS</v>
      </c>
      <c r="F1747" t="str">
        <f>"3 AVENUE DE COMPIEGNE"</f>
        <v>3 AVENUE DE COMPIEGNE</v>
      </c>
      <c r="H1747" t="str">
        <f>"02200"</f>
        <v>02200</v>
      </c>
      <c r="I1747" t="str">
        <f>"SOISSONS"</f>
        <v>SOISSONS</v>
      </c>
      <c r="J1747" t="str">
        <f>"03 23 55 02 08 "</f>
        <v xml:space="preserve">03 23 55 02 08 </v>
      </c>
      <c r="L1747" s="1">
        <v>42527</v>
      </c>
      <c r="M1747" t="str">
        <f t="shared" si="301"/>
        <v>124</v>
      </c>
      <c r="N1747" t="str">
        <f t="shared" si="302"/>
        <v>Centre de Santé</v>
      </c>
      <c r="O1747" t="str">
        <f>"60"</f>
        <v>60</v>
      </c>
      <c r="P1747" t="str">
        <f>"Association Loi 1901 non Reconnue d'Utilité Publique"</f>
        <v>Association Loi 1901 non Reconnue d'Utilité Publique</v>
      </c>
      <c r="Q1747" t="str">
        <f t="shared" si="297"/>
        <v>36</v>
      </c>
      <c r="R1747" t="str">
        <f t="shared" si="298"/>
        <v>Tarifs conventionnels assurance maladie</v>
      </c>
      <c r="U1747" t="str">
        <f>"020016606"</f>
        <v>020016606</v>
      </c>
    </row>
    <row r="1748" spans="1:21" x14ac:dyDescent="0.3">
      <c r="A1748" t="str">
        <f>"290035518"</f>
        <v>290035518</v>
      </c>
      <c r="B1748" t="str">
        <f>"319 294 971 00076"</f>
        <v>319 294 971 00076</v>
      </c>
      <c r="D1748" t="str">
        <f>"CDS INF. DE KERINOU"</f>
        <v>CDS INF. DE KERINOU</v>
      </c>
      <c r="F1748" t="str">
        <f>"72 RUE AUGUSTE KERVERN"</f>
        <v>72 RUE AUGUSTE KERVERN</v>
      </c>
      <c r="H1748" t="str">
        <f>"29200"</f>
        <v>29200</v>
      </c>
      <c r="I1748" t="str">
        <f>"BREST"</f>
        <v>BREST</v>
      </c>
      <c r="J1748" t="str">
        <f>"02 98 46 86 72 "</f>
        <v xml:space="preserve">02 98 46 86 72 </v>
      </c>
      <c r="L1748" s="1">
        <v>42522</v>
      </c>
      <c r="M1748" t="str">
        <f t="shared" si="301"/>
        <v>124</v>
      </c>
      <c r="N1748" t="str">
        <f t="shared" si="302"/>
        <v>Centre de Santé</v>
      </c>
      <c r="O1748" t="str">
        <f>"60"</f>
        <v>60</v>
      </c>
      <c r="P1748" t="str">
        <f>"Association Loi 1901 non Reconnue d'Utilité Publique"</f>
        <v>Association Loi 1901 non Reconnue d'Utilité Publique</v>
      </c>
      <c r="Q1748" t="str">
        <f t="shared" si="297"/>
        <v>36</v>
      </c>
      <c r="R1748" t="str">
        <f t="shared" si="298"/>
        <v>Tarifs conventionnels assurance maladie</v>
      </c>
      <c r="U1748" t="str">
        <f>"290001338"</f>
        <v>290001338</v>
      </c>
    </row>
    <row r="1749" spans="1:21" x14ac:dyDescent="0.3">
      <c r="A1749" t="str">
        <f>"780023560"</f>
        <v>780023560</v>
      </c>
      <c r="D1749" t="str">
        <f>"CDS DENTAIRE DE VERSAILLES"</f>
        <v>CDS DENTAIRE DE VERSAILLES</v>
      </c>
      <c r="F1749" t="str">
        <f>"37 RUE DES ETATS GENERAUX"</f>
        <v>37 RUE DES ETATS GENERAUX</v>
      </c>
      <c r="H1749" t="str">
        <f>"78000"</f>
        <v>78000</v>
      </c>
      <c r="I1749" t="str">
        <f>"VERSAILLES"</f>
        <v>VERSAILLES</v>
      </c>
      <c r="L1749" s="1">
        <v>42522</v>
      </c>
      <c r="M1749" t="str">
        <f t="shared" si="301"/>
        <v>124</v>
      </c>
      <c r="N1749" t="str">
        <f t="shared" si="302"/>
        <v>Centre de Santé</v>
      </c>
      <c r="O1749" t="str">
        <f>"60"</f>
        <v>60</v>
      </c>
      <c r="P1749" t="str">
        <f>"Association Loi 1901 non Reconnue d'Utilité Publique"</f>
        <v>Association Loi 1901 non Reconnue d'Utilité Publique</v>
      </c>
      <c r="Q1749" t="str">
        <f t="shared" ref="Q1749:Q1762" si="303">"36"</f>
        <v>36</v>
      </c>
      <c r="R1749" t="str">
        <f t="shared" ref="R1749:R1762" si="304">"Tarifs conventionnels assurance maladie"</f>
        <v>Tarifs conventionnels assurance maladie</v>
      </c>
      <c r="U1749" t="str">
        <f>"780023552"</f>
        <v>780023552</v>
      </c>
    </row>
    <row r="1750" spans="1:21" x14ac:dyDescent="0.3">
      <c r="A1750" t="str">
        <f>"830021168"</f>
        <v>830021168</v>
      </c>
      <c r="B1750" t="str">
        <f>"352 098 131 00787"</f>
        <v>352 098 131 00787</v>
      </c>
      <c r="D1750" t="str">
        <f>"CDS DENTAIRE"</f>
        <v>CDS DENTAIRE</v>
      </c>
      <c r="F1750" t="str">
        <f>"206 RUE EMILE ZOLA"</f>
        <v>206 RUE EMILE ZOLA</v>
      </c>
      <c r="H1750" t="str">
        <f>"83300"</f>
        <v>83300</v>
      </c>
      <c r="I1750" t="str">
        <f>"DRAGUIGNAN"</f>
        <v>DRAGUIGNAN</v>
      </c>
      <c r="J1750" t="str">
        <f>"04 94 67 09 21 "</f>
        <v xml:space="preserve">04 94 67 09 21 </v>
      </c>
      <c r="K1750" t="str">
        <f>"04 94 67 18 68"</f>
        <v>04 94 67 18 68</v>
      </c>
      <c r="L1750" s="1">
        <v>42514</v>
      </c>
      <c r="M1750" t="str">
        <f t="shared" si="301"/>
        <v>124</v>
      </c>
      <c r="N1750" t="str">
        <f t="shared" si="302"/>
        <v>Centre de Santé</v>
      </c>
      <c r="O1750" t="str">
        <f>"47"</f>
        <v>47</v>
      </c>
      <c r="P1750" t="str">
        <f>"Société Mutualiste"</f>
        <v>Société Mutualiste</v>
      </c>
      <c r="Q1750" t="str">
        <f t="shared" si="303"/>
        <v>36</v>
      </c>
      <c r="R1750" t="str">
        <f t="shared" si="304"/>
        <v>Tarifs conventionnels assurance maladie</v>
      </c>
      <c r="U1750" t="str">
        <f>"130007032"</f>
        <v>130007032</v>
      </c>
    </row>
    <row r="1751" spans="1:21" x14ac:dyDescent="0.3">
      <c r="A1751" t="str">
        <f>"920030079"</f>
        <v>920030079</v>
      </c>
      <c r="B1751" t="str">
        <f>"819 201 955 00021"</f>
        <v>819 201 955 00021</v>
      </c>
      <c r="D1751" t="str">
        <f>"CDS DENTAIRE SEGUIN CSDS"</f>
        <v>CDS DENTAIRE SEGUIN CSDS</v>
      </c>
      <c r="F1751" t="str">
        <f>"30 COUR DE L ILE SEGUIN"</f>
        <v>30 COUR DE L ILE SEGUIN</v>
      </c>
      <c r="H1751" t="str">
        <f>"92100"</f>
        <v>92100</v>
      </c>
      <c r="I1751" t="str">
        <f>"BOULOGNE BILLANCOURT"</f>
        <v>BOULOGNE BILLANCOURT</v>
      </c>
      <c r="J1751" t="str">
        <f>"01 41 13 77 77 "</f>
        <v xml:space="preserve">01 41 13 77 77 </v>
      </c>
      <c r="L1751" s="1">
        <v>42513</v>
      </c>
      <c r="M1751" t="str">
        <f t="shared" si="301"/>
        <v>124</v>
      </c>
      <c r="N1751" t="str">
        <f t="shared" si="302"/>
        <v>Centre de Santé</v>
      </c>
      <c r="O1751" t="str">
        <f>"60"</f>
        <v>60</v>
      </c>
      <c r="P1751" t="str">
        <f>"Association Loi 1901 non Reconnue d'Utilité Publique"</f>
        <v>Association Loi 1901 non Reconnue d'Utilité Publique</v>
      </c>
      <c r="Q1751" t="str">
        <f t="shared" si="303"/>
        <v>36</v>
      </c>
      <c r="R1751" t="str">
        <f t="shared" si="304"/>
        <v>Tarifs conventionnels assurance maladie</v>
      </c>
      <c r="U1751" t="str">
        <f>"750058489"</f>
        <v>750058489</v>
      </c>
    </row>
    <row r="1752" spans="1:21" x14ac:dyDescent="0.3">
      <c r="A1752" t="str">
        <f>"940022767"</f>
        <v>940022767</v>
      </c>
      <c r="B1752" t="str">
        <f>"820 850 048 00019"</f>
        <v>820 850 048 00019</v>
      </c>
      <c r="D1752" t="str">
        <f>"CDS MEDICO-DENTAIRE NOGENT LE PERREUX"</f>
        <v>CDS MEDICO-DENTAIRE NOGENT LE PERREUX</v>
      </c>
      <c r="F1752" t="str">
        <f>"188 GRANDE RUE CHARLES DE GAULLE"</f>
        <v>188 GRANDE RUE CHARLES DE GAULLE</v>
      </c>
      <c r="H1752" t="str">
        <f>"94130"</f>
        <v>94130</v>
      </c>
      <c r="I1752" t="str">
        <f>"NOGENT SUR MARNE"</f>
        <v>NOGENT SUR MARNE</v>
      </c>
      <c r="J1752" t="str">
        <f>"01 43 24 30 00 "</f>
        <v xml:space="preserve">01 43 24 30 00 </v>
      </c>
      <c r="K1752" t="str">
        <f>"01 41 93 65 46"</f>
        <v>01 41 93 65 46</v>
      </c>
      <c r="L1752" s="1">
        <v>42513</v>
      </c>
      <c r="M1752" t="str">
        <f t="shared" si="301"/>
        <v>124</v>
      </c>
      <c r="N1752" t="str">
        <f t="shared" si="302"/>
        <v>Centre de Santé</v>
      </c>
      <c r="O1752" t="str">
        <f>"60"</f>
        <v>60</v>
      </c>
      <c r="P1752" t="str">
        <f>"Association Loi 1901 non Reconnue d'Utilité Publique"</f>
        <v>Association Loi 1901 non Reconnue d'Utilité Publique</v>
      </c>
      <c r="Q1752" t="str">
        <f t="shared" si="303"/>
        <v>36</v>
      </c>
      <c r="R1752" t="str">
        <f t="shared" si="304"/>
        <v>Tarifs conventionnels assurance maladie</v>
      </c>
      <c r="U1752" t="str">
        <f>"940022759"</f>
        <v>940022759</v>
      </c>
    </row>
    <row r="1753" spans="1:21" x14ac:dyDescent="0.3">
      <c r="A1753" t="str">
        <f>"340022961"</f>
        <v>340022961</v>
      </c>
      <c r="B1753" t="str">
        <f>"794 105 650 00145"</f>
        <v>794 105 650 00145</v>
      </c>
      <c r="D1753" t="str">
        <f>"CDS DENTAIRE DENTIFREE"</f>
        <v>CDS DENTAIRE DENTIFREE</v>
      </c>
      <c r="E1753" t="str">
        <f>"IMMEUBLE LE POLE EUREKA"</f>
        <v>IMMEUBLE LE POLE EUREKA</v>
      </c>
      <c r="F1753" t="str">
        <f>"418 RUE DU MAS DE VERCHANT"</f>
        <v>418 RUE DU MAS DE VERCHANT</v>
      </c>
      <c r="H1753" t="str">
        <f>"34000"</f>
        <v>34000</v>
      </c>
      <c r="I1753" t="str">
        <f>"MONTPELLIER"</f>
        <v>MONTPELLIER</v>
      </c>
      <c r="J1753" t="str">
        <f>"09 72 37 24 44 "</f>
        <v xml:space="preserve">09 72 37 24 44 </v>
      </c>
      <c r="L1753" s="1">
        <v>42492</v>
      </c>
      <c r="M1753" t="str">
        <f t="shared" si="301"/>
        <v>124</v>
      </c>
      <c r="N1753" t="str">
        <f t="shared" si="302"/>
        <v>Centre de Santé</v>
      </c>
      <c r="O1753" t="str">
        <f>"60"</f>
        <v>60</v>
      </c>
      <c r="P1753" t="str">
        <f>"Association Loi 1901 non Reconnue d'Utilité Publique"</f>
        <v>Association Loi 1901 non Reconnue d'Utilité Publique</v>
      </c>
      <c r="Q1753" t="str">
        <f t="shared" si="303"/>
        <v>36</v>
      </c>
      <c r="R1753" t="str">
        <f t="shared" si="304"/>
        <v>Tarifs conventionnels assurance maladie</v>
      </c>
      <c r="U1753" t="str">
        <f>"780022661"</f>
        <v>780022661</v>
      </c>
    </row>
    <row r="1754" spans="1:21" x14ac:dyDescent="0.3">
      <c r="A1754" t="str">
        <f>"130045404"</f>
        <v>130045404</v>
      </c>
      <c r="D1754" t="str">
        <f>"CDS DENTAIRE DE BONNEVEINE"</f>
        <v>CDS DENTAIRE DE BONNEVEINE</v>
      </c>
      <c r="F1754" t="str">
        <f>"89 BOULEVARD DU SABLIER"</f>
        <v>89 BOULEVARD DU SABLIER</v>
      </c>
      <c r="H1754" t="str">
        <f>"13008"</f>
        <v>13008</v>
      </c>
      <c r="I1754" t="str">
        <f>"MARSEILLE"</f>
        <v>MARSEILLE</v>
      </c>
      <c r="J1754" t="str">
        <f>"04 96 14 14 73 "</f>
        <v xml:space="preserve">04 96 14 14 73 </v>
      </c>
      <c r="L1754" s="1">
        <v>42488</v>
      </c>
      <c r="M1754" t="str">
        <f t="shared" si="301"/>
        <v>124</v>
      </c>
      <c r="N1754" t="str">
        <f t="shared" si="302"/>
        <v>Centre de Santé</v>
      </c>
      <c r="O1754" t="str">
        <f>"61"</f>
        <v>61</v>
      </c>
      <c r="P1754" t="str">
        <f>"Association Loi 1901 Reconnue d'Utilité Publique"</f>
        <v>Association Loi 1901 Reconnue d'Utilité Publique</v>
      </c>
      <c r="Q1754" t="str">
        <f t="shared" si="303"/>
        <v>36</v>
      </c>
      <c r="R1754" t="str">
        <f t="shared" si="304"/>
        <v>Tarifs conventionnels assurance maladie</v>
      </c>
      <c r="U1754" t="str">
        <f>"130043722"</f>
        <v>130043722</v>
      </c>
    </row>
    <row r="1755" spans="1:21" x14ac:dyDescent="0.3">
      <c r="A1755" t="str">
        <f>"130045362"</f>
        <v>130045362</v>
      </c>
      <c r="B1755" t="str">
        <f>"814 635 082 00013"</f>
        <v>814 635 082 00013</v>
      </c>
      <c r="D1755" t="str">
        <f>"CDS CARA SANTE ALCAZAR"</f>
        <v>CDS CARA SANTE ALCAZAR</v>
      </c>
      <c r="F1755" t="str">
        <f>"32 COURS BELSUNCE"</f>
        <v>32 COURS BELSUNCE</v>
      </c>
      <c r="H1755" t="str">
        <f>"13001"</f>
        <v>13001</v>
      </c>
      <c r="I1755" t="str">
        <f>"MARSEILLE"</f>
        <v>MARSEILLE</v>
      </c>
      <c r="J1755" t="str">
        <f>"04 91 91 91 15 "</f>
        <v xml:space="preserve">04 91 91 91 15 </v>
      </c>
      <c r="L1755" s="1">
        <v>42485</v>
      </c>
      <c r="M1755" t="str">
        <f t="shared" si="301"/>
        <v>124</v>
      </c>
      <c r="N1755" t="str">
        <f t="shared" si="302"/>
        <v>Centre de Santé</v>
      </c>
      <c r="O1755" t="str">
        <f>"60"</f>
        <v>60</v>
      </c>
      <c r="P1755" t="str">
        <f>"Association Loi 1901 non Reconnue d'Utilité Publique"</f>
        <v>Association Loi 1901 non Reconnue d'Utilité Publique</v>
      </c>
      <c r="Q1755" t="str">
        <f t="shared" si="303"/>
        <v>36</v>
      </c>
      <c r="R1755" t="str">
        <f t="shared" si="304"/>
        <v>Tarifs conventionnels assurance maladie</v>
      </c>
      <c r="U1755" t="str">
        <f>"130045354"</f>
        <v>130045354</v>
      </c>
    </row>
    <row r="1756" spans="1:21" x14ac:dyDescent="0.3">
      <c r="A1756" t="str">
        <f>"930026984"</f>
        <v>930026984</v>
      </c>
      <c r="D1756" t="str">
        <f>"CDS DENTAIRE MONTREUIL"</f>
        <v>CDS DENTAIRE MONTREUIL</v>
      </c>
      <c r="F1756" t="str">
        <f>"37 AVENUE DU PRESIDENT WILSON"</f>
        <v>37 AVENUE DU PRESIDENT WILSON</v>
      </c>
      <c r="H1756" t="str">
        <f>"93100"</f>
        <v>93100</v>
      </c>
      <c r="I1756" t="str">
        <f>"MONTREUIL"</f>
        <v>MONTREUIL</v>
      </c>
      <c r="L1756" s="1">
        <v>42481</v>
      </c>
      <c r="M1756" t="str">
        <f t="shared" si="301"/>
        <v>124</v>
      </c>
      <c r="N1756" t="str">
        <f t="shared" si="302"/>
        <v>Centre de Santé</v>
      </c>
      <c r="O1756" t="str">
        <f>"60"</f>
        <v>60</v>
      </c>
      <c r="P1756" t="str">
        <f>"Association Loi 1901 non Reconnue d'Utilité Publique"</f>
        <v>Association Loi 1901 non Reconnue d'Utilité Publique</v>
      </c>
      <c r="Q1756" t="str">
        <f t="shared" si="303"/>
        <v>36</v>
      </c>
      <c r="R1756" t="str">
        <f t="shared" si="304"/>
        <v>Tarifs conventionnels assurance maladie</v>
      </c>
      <c r="U1756" t="str">
        <f>"930026075"</f>
        <v>930026075</v>
      </c>
    </row>
    <row r="1757" spans="1:21" x14ac:dyDescent="0.3">
      <c r="A1757" t="str">
        <f>"570027417"</f>
        <v>570027417</v>
      </c>
      <c r="B1757" t="str">
        <f>"390 490 340 00044"</f>
        <v>390 490 340 00044</v>
      </c>
      <c r="D1757" t="str">
        <f>"CENTRE DE SOINS INFIRMIERS D'AMNEVILLE"</f>
        <v>CENTRE DE SOINS INFIRMIERS D'AMNEVILLE</v>
      </c>
      <c r="F1757" t="str">
        <f>"1 RUE DU CHATEAU DE MERTEN"</f>
        <v>1 RUE DU CHATEAU DE MERTEN</v>
      </c>
      <c r="H1757" t="str">
        <f>"57360"</f>
        <v>57360</v>
      </c>
      <c r="I1757" t="str">
        <f>"AMNEVILLE LES THERMES"</f>
        <v>AMNEVILLE LES THERMES</v>
      </c>
      <c r="J1757" t="str">
        <f>"03 87 54 19 22 "</f>
        <v xml:space="preserve">03 87 54 19 22 </v>
      </c>
      <c r="L1757" s="1">
        <v>42478</v>
      </c>
      <c r="M1757" t="str">
        <f t="shared" si="301"/>
        <v>124</v>
      </c>
      <c r="N1757" t="str">
        <f t="shared" si="302"/>
        <v>Centre de Santé</v>
      </c>
      <c r="O1757" t="str">
        <f>"62"</f>
        <v>62</v>
      </c>
      <c r="P1757" t="str">
        <f>"Association de Droit Local"</f>
        <v>Association de Droit Local</v>
      </c>
      <c r="Q1757" t="str">
        <f t="shared" si="303"/>
        <v>36</v>
      </c>
      <c r="R1757" t="str">
        <f t="shared" si="304"/>
        <v>Tarifs conventionnels assurance maladie</v>
      </c>
      <c r="U1757" t="str">
        <f>"570015966"</f>
        <v>570015966</v>
      </c>
    </row>
    <row r="1758" spans="1:21" x14ac:dyDescent="0.3">
      <c r="A1758" t="str">
        <f>"950043109"</f>
        <v>950043109</v>
      </c>
      <c r="B1758" t="str">
        <f>"785 846 866 00024"</f>
        <v>785 846 866 00024</v>
      </c>
      <c r="D1758" t="str">
        <f>"CDS CHABRAND THIBAULT"</f>
        <v>CDS CHABRAND THIBAULT</v>
      </c>
      <c r="F1758" t="str">
        <f>"48 RUE ARISTIDE BRIAND"</f>
        <v>48 RUE ARISTIDE BRIAND</v>
      </c>
      <c r="H1758" t="str">
        <f>"95240"</f>
        <v>95240</v>
      </c>
      <c r="I1758" t="str">
        <f>"CORMEILLES EN PARISIS"</f>
        <v>CORMEILLES EN PARISIS</v>
      </c>
      <c r="J1758" t="str">
        <f>"01 34 50 43 21 "</f>
        <v xml:space="preserve">01 34 50 43 21 </v>
      </c>
      <c r="K1758" t="str">
        <f>"01 34 50 43 29"</f>
        <v>01 34 50 43 29</v>
      </c>
      <c r="L1758" s="1">
        <v>42478</v>
      </c>
      <c r="M1758" t="str">
        <f t="shared" si="301"/>
        <v>124</v>
      </c>
      <c r="N1758" t="str">
        <f t="shared" si="302"/>
        <v>Centre de Santé</v>
      </c>
      <c r="O1758" t="str">
        <f>"63"</f>
        <v>63</v>
      </c>
      <c r="P1758" t="str">
        <f>"Fondation"</f>
        <v>Fondation</v>
      </c>
      <c r="Q1758" t="str">
        <f t="shared" si="303"/>
        <v>36</v>
      </c>
      <c r="R1758" t="str">
        <f t="shared" si="304"/>
        <v>Tarifs conventionnels assurance maladie</v>
      </c>
      <c r="U1758" t="str">
        <f>"950000984"</f>
        <v>950000984</v>
      </c>
    </row>
    <row r="1759" spans="1:21" x14ac:dyDescent="0.3">
      <c r="A1759" t="str">
        <f>"940022742"</f>
        <v>940022742</v>
      </c>
      <c r="B1759" t="str">
        <f>"818 553 554 00010"</f>
        <v>818 553 554 00010</v>
      </c>
      <c r="D1759" t="str">
        <f>"CDS DE CHARENTON"</f>
        <v>CDS DE CHARENTON</v>
      </c>
      <c r="F1759" t="str">
        <f>"176 RUE DE PARIS"</f>
        <v>176 RUE DE PARIS</v>
      </c>
      <c r="H1759" t="str">
        <f>"94220"</f>
        <v>94220</v>
      </c>
      <c r="I1759" t="str">
        <f>"CHARENTON LE PONT"</f>
        <v>CHARENTON LE PONT</v>
      </c>
      <c r="J1759" t="str">
        <f>"06 12 74 55 01 "</f>
        <v xml:space="preserve">06 12 74 55 01 </v>
      </c>
      <c r="L1759" s="1">
        <v>42473</v>
      </c>
      <c r="M1759" t="str">
        <f t="shared" si="301"/>
        <v>124</v>
      </c>
      <c r="N1759" t="str">
        <f t="shared" si="302"/>
        <v>Centre de Santé</v>
      </c>
      <c r="O1759" t="str">
        <f>"60"</f>
        <v>60</v>
      </c>
      <c r="P1759" t="str">
        <f>"Association Loi 1901 non Reconnue d'Utilité Publique"</f>
        <v>Association Loi 1901 non Reconnue d'Utilité Publique</v>
      </c>
      <c r="Q1759" t="str">
        <f t="shared" si="303"/>
        <v>36</v>
      </c>
      <c r="R1759" t="str">
        <f t="shared" si="304"/>
        <v>Tarifs conventionnels assurance maladie</v>
      </c>
      <c r="U1759" t="str">
        <f>"940022734"</f>
        <v>940022734</v>
      </c>
    </row>
    <row r="1760" spans="1:21" x14ac:dyDescent="0.3">
      <c r="A1760" t="str">
        <f>"920030020"</f>
        <v>920030020</v>
      </c>
      <c r="B1760" t="str">
        <f>"815 344 569 00018"</f>
        <v>815 344 569 00018</v>
      </c>
      <c r="D1760" t="str">
        <f>"CDS VICTOR HUGO"</f>
        <v>CDS VICTOR HUGO</v>
      </c>
      <c r="F1760" t="str">
        <f>"92 BOULEVARD VICTOR HUGO"</f>
        <v>92 BOULEVARD VICTOR HUGO</v>
      </c>
      <c r="H1760" t="str">
        <f>"92110"</f>
        <v>92110</v>
      </c>
      <c r="I1760" t="str">
        <f>"CLICHY"</f>
        <v>CLICHY</v>
      </c>
      <c r="L1760" s="1">
        <v>42464</v>
      </c>
      <c r="M1760" t="str">
        <f t="shared" si="301"/>
        <v>124</v>
      </c>
      <c r="N1760" t="str">
        <f t="shared" si="302"/>
        <v>Centre de Santé</v>
      </c>
      <c r="O1760" t="str">
        <f>"60"</f>
        <v>60</v>
      </c>
      <c r="P1760" t="str">
        <f>"Association Loi 1901 non Reconnue d'Utilité Publique"</f>
        <v>Association Loi 1901 non Reconnue d'Utilité Publique</v>
      </c>
      <c r="Q1760" t="str">
        <f t="shared" si="303"/>
        <v>36</v>
      </c>
      <c r="R1760" t="str">
        <f t="shared" si="304"/>
        <v>Tarifs conventionnels assurance maladie</v>
      </c>
      <c r="U1760" t="str">
        <f>"920030004"</f>
        <v>920030004</v>
      </c>
    </row>
    <row r="1761" spans="1:21" x14ac:dyDescent="0.3">
      <c r="A1761" t="str">
        <f>"410009252"</f>
        <v>410009252</v>
      </c>
      <c r="B1761" t="str">
        <f>"200 018 406 00062"</f>
        <v>200 018 406 00062</v>
      </c>
      <c r="D1761" t="str">
        <f>"POLE SANTE INTERCOMMUNAL"</f>
        <v>POLE SANTE INTERCOMMUNAL</v>
      </c>
      <c r="F1761" t="str">
        <f>"22 FAUBOURG SAINT ROCH"</f>
        <v>22 FAUBOURG SAINT ROCH</v>
      </c>
      <c r="H1761" t="str">
        <f>"41200"</f>
        <v>41200</v>
      </c>
      <c r="I1761" t="str">
        <f>"ROMORANTIN LANTHENAY"</f>
        <v>ROMORANTIN LANTHENAY</v>
      </c>
      <c r="J1761" t="str">
        <f>"02 54 94 00 30 "</f>
        <v xml:space="preserve">02 54 94 00 30 </v>
      </c>
      <c r="L1761" s="1">
        <v>42462</v>
      </c>
      <c r="M1761" t="str">
        <f t="shared" si="301"/>
        <v>124</v>
      </c>
      <c r="N1761" t="str">
        <f t="shared" si="302"/>
        <v>Centre de Santé</v>
      </c>
      <c r="O1761" t="str">
        <f>"03"</f>
        <v>03</v>
      </c>
      <c r="P1761" t="str">
        <f>"Commune"</f>
        <v>Commune</v>
      </c>
      <c r="Q1761" t="str">
        <f t="shared" si="303"/>
        <v>36</v>
      </c>
      <c r="R1761" t="str">
        <f t="shared" si="304"/>
        <v>Tarifs conventionnels assurance maladie</v>
      </c>
      <c r="U1761" t="str">
        <f>"410009245"</f>
        <v>410009245</v>
      </c>
    </row>
    <row r="1762" spans="1:21" x14ac:dyDescent="0.3">
      <c r="A1762" t="str">
        <f>"920030012"</f>
        <v>920030012</v>
      </c>
      <c r="D1762" t="str">
        <f>"CITY DENTAL CARE"</f>
        <v>CITY DENTAL CARE</v>
      </c>
      <c r="E1762" t="str">
        <f>"SALLE DES COLONNES - NIVEAU 4"</f>
        <v>SALLE DES COLONNES - NIVEAU 4</v>
      </c>
      <c r="F1762" t="str">
        <f>"VOIE DES BUS PERRONET OUEST"</f>
        <v>VOIE DES BUS PERRONET OUEST</v>
      </c>
      <c r="H1762" t="str">
        <f>"92800"</f>
        <v>92800</v>
      </c>
      <c r="I1762" t="str">
        <f>"PUTEAUX"</f>
        <v>PUTEAUX</v>
      </c>
      <c r="L1762" s="1">
        <v>42446</v>
      </c>
      <c r="M1762" t="str">
        <f t="shared" si="301"/>
        <v>124</v>
      </c>
      <c r="N1762" t="str">
        <f t="shared" si="302"/>
        <v>Centre de Santé</v>
      </c>
      <c r="O1762" t="str">
        <f>"60"</f>
        <v>60</v>
      </c>
      <c r="P1762" t="str">
        <f>"Association Loi 1901 non Reconnue d'Utilité Publique"</f>
        <v>Association Loi 1901 non Reconnue d'Utilité Publique</v>
      </c>
      <c r="Q1762" t="str">
        <f t="shared" si="303"/>
        <v>36</v>
      </c>
      <c r="R1762" t="str">
        <f t="shared" si="304"/>
        <v>Tarifs conventionnels assurance maladie</v>
      </c>
      <c r="U1762" t="str">
        <f>"920029402"</f>
        <v>920029402</v>
      </c>
    </row>
    <row r="1763" spans="1:21" x14ac:dyDescent="0.3">
      <c r="A1763" t="str">
        <f>"410009187"</f>
        <v>410009187</v>
      </c>
      <c r="B1763" t="str">
        <f>"484 434 113 00078"</f>
        <v>484 434 113 00078</v>
      </c>
      <c r="D1763" t="str">
        <f>"CENTRE DE SANTE DE SOLOGNE"</f>
        <v>CENTRE DE SANTE DE SOLOGNE</v>
      </c>
      <c r="F1763" t="str">
        <f>"1 RUE CECILE BOUCHER"</f>
        <v>1 RUE CECILE BOUCHER</v>
      </c>
      <c r="H1763" t="str">
        <f>"41600"</f>
        <v>41600</v>
      </c>
      <c r="I1763" t="str">
        <f>"LAMOTTE BEUVRON"</f>
        <v>LAMOTTE BEUVRON</v>
      </c>
      <c r="J1763" t="str">
        <f>"02 54 98 58 00 "</f>
        <v xml:space="preserve">02 54 98 58 00 </v>
      </c>
      <c r="K1763" t="str">
        <f>"02 54 96 95 52"</f>
        <v>02 54 96 95 52</v>
      </c>
      <c r="L1763" s="1">
        <v>42430</v>
      </c>
      <c r="M1763" t="str">
        <f t="shared" si="301"/>
        <v>124</v>
      </c>
      <c r="N1763" t="str">
        <f t="shared" si="302"/>
        <v>Centre de Santé</v>
      </c>
      <c r="O1763" t="str">
        <f>"95"</f>
        <v>95</v>
      </c>
      <c r="P1763" t="str">
        <f>"Société par Actions Simplifiée (S.A.S.)"</f>
        <v>Société par Actions Simplifiée (S.A.S.)</v>
      </c>
      <c r="Q1763" t="str">
        <f>"07"</f>
        <v>07</v>
      </c>
      <c r="R1763" t="str">
        <f>"ARS établissements de santé non financés dotation globale"</f>
        <v>ARS établissements de santé non financés dotation globale</v>
      </c>
      <c r="U1763" t="str">
        <f>"440052041"</f>
        <v>440052041</v>
      </c>
    </row>
    <row r="1764" spans="1:21" x14ac:dyDescent="0.3">
      <c r="A1764" t="str">
        <f>"410009195"</f>
        <v>410009195</v>
      </c>
      <c r="B1764" t="str">
        <f>"775 347 891 01199"</f>
        <v>775 347 891 01199</v>
      </c>
      <c r="D1764" t="str">
        <f>"CTRE DE SANTE DENTAIRE  SAINT AIGNAN"</f>
        <v>CTRE DE SANTE DENTAIRE  SAINT AIGNAN</v>
      </c>
      <c r="F1764" t="str">
        <f>"21 RUE LOUIS PASTEUR"</f>
        <v>21 RUE LOUIS PASTEUR</v>
      </c>
      <c r="H1764" t="str">
        <f>"41110"</f>
        <v>41110</v>
      </c>
      <c r="I1764" t="str">
        <f>"ST AIGNAN"</f>
        <v>ST AIGNAN</v>
      </c>
      <c r="J1764" t="str">
        <f>"02 47 31 29 30 "</f>
        <v xml:space="preserve">02 47 31 29 30 </v>
      </c>
      <c r="K1764" t="str">
        <f>"02 52 60 06 19"</f>
        <v>02 52 60 06 19</v>
      </c>
      <c r="L1764" s="1">
        <v>42429</v>
      </c>
      <c r="M1764" t="str">
        <f t="shared" si="301"/>
        <v>124</v>
      </c>
      <c r="N1764" t="str">
        <f t="shared" si="302"/>
        <v>Centre de Santé</v>
      </c>
      <c r="O1764" t="str">
        <f>"47"</f>
        <v>47</v>
      </c>
      <c r="P1764" t="str">
        <f>"Société Mutualiste"</f>
        <v>Société Mutualiste</v>
      </c>
      <c r="Q1764" t="str">
        <f t="shared" ref="Q1764:Q1827" si="305">"36"</f>
        <v>36</v>
      </c>
      <c r="R1764" t="str">
        <f t="shared" ref="R1764:R1827" si="306">"Tarifs conventionnels assurance maladie"</f>
        <v>Tarifs conventionnels assurance maladie</v>
      </c>
      <c r="U1764" t="str">
        <f>"370100935"</f>
        <v>370100935</v>
      </c>
    </row>
    <row r="1765" spans="1:21" x14ac:dyDescent="0.3">
      <c r="A1765" t="str">
        <f>"950043026"</f>
        <v>950043026</v>
      </c>
      <c r="B1765" t="str">
        <f>"817 412 414 00028"</f>
        <v>817 412 414 00028</v>
      </c>
      <c r="D1765" t="str">
        <f>"CDS DENTAIRE SARCELLES"</f>
        <v>CDS DENTAIRE SARCELLES</v>
      </c>
      <c r="F1765" t="str">
        <f>"29 AVENUE DU 8 MAI 1945"</f>
        <v>29 AVENUE DU 8 MAI 1945</v>
      </c>
      <c r="H1765" t="str">
        <f>"95200"</f>
        <v>95200</v>
      </c>
      <c r="I1765" t="str">
        <f>"SARCELLES"</f>
        <v>SARCELLES</v>
      </c>
      <c r="J1765" t="str">
        <f>"06 60 38 77 10 "</f>
        <v xml:space="preserve">06 60 38 77 10 </v>
      </c>
      <c r="L1765" s="1">
        <v>42425</v>
      </c>
      <c r="M1765" t="str">
        <f t="shared" si="301"/>
        <v>124</v>
      </c>
      <c r="N1765" t="str">
        <f t="shared" si="302"/>
        <v>Centre de Santé</v>
      </c>
      <c r="O1765" t="str">
        <f>"60"</f>
        <v>60</v>
      </c>
      <c r="P1765" t="str">
        <f>"Association Loi 1901 non Reconnue d'Utilité Publique"</f>
        <v>Association Loi 1901 non Reconnue d'Utilité Publique</v>
      </c>
      <c r="Q1765" t="str">
        <f t="shared" si="305"/>
        <v>36</v>
      </c>
      <c r="R1765" t="str">
        <f t="shared" si="306"/>
        <v>Tarifs conventionnels assurance maladie</v>
      </c>
      <c r="U1765" t="str">
        <f>"750058323"</f>
        <v>750058323</v>
      </c>
    </row>
    <row r="1766" spans="1:21" x14ac:dyDescent="0.3">
      <c r="A1766" t="str">
        <f>"720020569"</f>
        <v>720020569</v>
      </c>
      <c r="B1766" t="str">
        <f>"200 072 700 00111"</f>
        <v>200 072 700 00111</v>
      </c>
      <c r="D1766" t="str">
        <f>"CENTRE DE SANTE DES ALPES MANCELLES"</f>
        <v>CENTRE DE SANTE DES ALPES MANCELLES</v>
      </c>
      <c r="F1766" t="str">
        <f>"2 RUE ABBÉ LELIÈVRE"</f>
        <v>2 RUE ABBÉ LELIÈVRE</v>
      </c>
      <c r="H1766" t="str">
        <f>"72130"</f>
        <v>72130</v>
      </c>
      <c r="I1766" t="str">
        <f>"FRESNAY SUR SARTHE"</f>
        <v>FRESNAY SUR SARTHE</v>
      </c>
      <c r="J1766" t="str">
        <f>"02 43 34 54 04 "</f>
        <v xml:space="preserve">02 43 34 54 04 </v>
      </c>
      <c r="L1766" s="1">
        <v>42423</v>
      </c>
      <c r="M1766" t="str">
        <f t="shared" si="301"/>
        <v>124</v>
      </c>
      <c r="N1766" t="str">
        <f t="shared" si="302"/>
        <v>Centre de Santé</v>
      </c>
      <c r="O1766" t="str">
        <f>"26"</f>
        <v>26</v>
      </c>
      <c r="P1766" t="str">
        <f>"Autre Etablissement Public à Caractère Administratif"</f>
        <v>Autre Etablissement Public à Caractère Administratif</v>
      </c>
      <c r="Q1766" t="str">
        <f t="shared" si="305"/>
        <v>36</v>
      </c>
      <c r="R1766" t="str">
        <f t="shared" si="306"/>
        <v>Tarifs conventionnels assurance maladie</v>
      </c>
      <c r="U1766" t="str">
        <f>"720020551"</f>
        <v>720020551</v>
      </c>
    </row>
    <row r="1767" spans="1:21" x14ac:dyDescent="0.3">
      <c r="A1767" t="str">
        <f>"920029998"</f>
        <v>920029998</v>
      </c>
      <c r="D1767" t="str">
        <f>"CDS DENTAIRE GENNEVILLIERS"</f>
        <v>CDS DENTAIRE GENNEVILLIERS</v>
      </c>
      <c r="E1767" t="str">
        <f>"42/44"</f>
        <v>42/44</v>
      </c>
      <c r="F1767" t="str">
        <f>"42 AVENUE CHANDON"</f>
        <v>42 AVENUE CHANDON</v>
      </c>
      <c r="H1767" t="str">
        <f>"92230"</f>
        <v>92230</v>
      </c>
      <c r="I1767" t="str">
        <f>"GENNEVILLIERS"</f>
        <v>GENNEVILLIERS</v>
      </c>
      <c r="L1767" s="1">
        <v>42423</v>
      </c>
      <c r="M1767" t="str">
        <f t="shared" si="301"/>
        <v>124</v>
      </c>
      <c r="N1767" t="str">
        <f t="shared" si="302"/>
        <v>Centre de Santé</v>
      </c>
      <c r="O1767" t="str">
        <f>"60"</f>
        <v>60</v>
      </c>
      <c r="P1767" t="str">
        <f>"Association Loi 1901 non Reconnue d'Utilité Publique"</f>
        <v>Association Loi 1901 non Reconnue d'Utilité Publique</v>
      </c>
      <c r="Q1767" t="str">
        <f t="shared" si="305"/>
        <v>36</v>
      </c>
      <c r="R1767" t="str">
        <f t="shared" si="306"/>
        <v>Tarifs conventionnels assurance maladie</v>
      </c>
      <c r="U1767" t="str">
        <f>"920029980"</f>
        <v>920029980</v>
      </c>
    </row>
    <row r="1768" spans="1:21" x14ac:dyDescent="0.3">
      <c r="A1768" t="str">
        <f>"130044704"</f>
        <v>130044704</v>
      </c>
      <c r="B1768" t="str">
        <f>"804 084 853 00022"</f>
        <v>804 084 853 00022</v>
      </c>
      <c r="D1768" t="str">
        <f>"CDS POLYVALENT DE L'AEROPORT"</f>
        <v>CDS POLYVALENT DE L'AEROPORT</v>
      </c>
      <c r="E1768" t="str">
        <f>"LOTB9 BATCHENES ZI LACOUPERIGNE"</f>
        <v>LOTB9 BATCHENES ZI LACOUPERIGNE</v>
      </c>
      <c r="F1768" t="str">
        <f>"RUE BLAISE PASCAL"</f>
        <v>RUE BLAISE PASCAL</v>
      </c>
      <c r="H1768" t="str">
        <f>"13127"</f>
        <v>13127</v>
      </c>
      <c r="I1768" t="str">
        <f>"VITROLLES"</f>
        <v>VITROLLES</v>
      </c>
      <c r="J1768" t="str">
        <f>"04 42 44 67 19 "</f>
        <v xml:space="preserve">04 42 44 67 19 </v>
      </c>
      <c r="L1768" s="1">
        <v>42422</v>
      </c>
      <c r="M1768" t="str">
        <f t="shared" si="301"/>
        <v>124</v>
      </c>
      <c r="N1768" t="str">
        <f t="shared" si="302"/>
        <v>Centre de Santé</v>
      </c>
      <c r="O1768" t="str">
        <f>"60"</f>
        <v>60</v>
      </c>
      <c r="P1768" t="str">
        <f>"Association Loi 1901 non Reconnue d'Utilité Publique"</f>
        <v>Association Loi 1901 non Reconnue d'Utilité Publique</v>
      </c>
      <c r="Q1768" t="str">
        <f t="shared" si="305"/>
        <v>36</v>
      </c>
      <c r="R1768" t="str">
        <f t="shared" si="306"/>
        <v>Tarifs conventionnels assurance maladie</v>
      </c>
      <c r="U1768" t="str">
        <f>"130044696"</f>
        <v>130044696</v>
      </c>
    </row>
    <row r="1769" spans="1:21" x14ac:dyDescent="0.3">
      <c r="A1769" t="str">
        <f>"780023461"</f>
        <v>780023461</v>
      </c>
      <c r="B1769" t="str">
        <f>"197 819 444 00013"</f>
        <v>197 819 444 00013</v>
      </c>
      <c r="D1769" t="str">
        <f>"CDS UNIVERSIT DE MEDECINE PREVENTIVE"</f>
        <v>CDS UNIVERSIT DE MEDECINE PREVENTIVE</v>
      </c>
      <c r="F1769" t="str">
        <f>"1 ALLEE DE L ASTRONOMIE"</f>
        <v>1 ALLEE DE L ASTRONOMIE</v>
      </c>
      <c r="H1769" t="str">
        <f>"78280"</f>
        <v>78280</v>
      </c>
      <c r="I1769" t="str">
        <f>"GUYANCOURT"</f>
        <v>GUYANCOURT</v>
      </c>
      <c r="J1769" t="str">
        <f>"01 39 25 53 82 "</f>
        <v xml:space="preserve">01 39 25 53 82 </v>
      </c>
      <c r="K1769" t="str">
        <f>"01 39 25 53 05"</f>
        <v>01 39 25 53 05</v>
      </c>
      <c r="L1769" s="1">
        <v>42422</v>
      </c>
      <c r="M1769" t="str">
        <f t="shared" si="301"/>
        <v>124</v>
      </c>
      <c r="N1769" t="str">
        <f t="shared" si="302"/>
        <v>Centre de Santé</v>
      </c>
      <c r="O1769" t="str">
        <f>"26"</f>
        <v>26</v>
      </c>
      <c r="P1769" t="str">
        <f>"Autre Etablissement Public à Caractère Administratif"</f>
        <v>Autre Etablissement Public à Caractère Administratif</v>
      </c>
      <c r="Q1769" t="str">
        <f t="shared" si="305"/>
        <v>36</v>
      </c>
      <c r="R1769" t="str">
        <f t="shared" si="306"/>
        <v>Tarifs conventionnels assurance maladie</v>
      </c>
      <c r="U1769" t="str">
        <f>"780023453"</f>
        <v>780023453</v>
      </c>
    </row>
    <row r="1770" spans="1:21" x14ac:dyDescent="0.3">
      <c r="A1770" t="str">
        <f>"940022726"</f>
        <v>940022726</v>
      </c>
      <c r="B1770" t="str">
        <f>"799 676 317 00016"</f>
        <v>799 676 317 00016</v>
      </c>
      <c r="D1770" t="str">
        <f>"CDS ELISE VILLEJUIF"</f>
        <v>CDS ELISE VILLEJUIF</v>
      </c>
      <c r="F1770" t="str">
        <f>"38 RUE JEAN JAURES"</f>
        <v>38 RUE JEAN JAURES</v>
      </c>
      <c r="H1770" t="str">
        <f>"94800"</f>
        <v>94800</v>
      </c>
      <c r="I1770" t="str">
        <f>"VILLEJUIF"</f>
        <v>VILLEJUIF</v>
      </c>
      <c r="J1770" t="str">
        <f>"06 60 24 04 76 "</f>
        <v xml:space="preserve">06 60 24 04 76 </v>
      </c>
      <c r="L1770" s="1">
        <v>42422</v>
      </c>
      <c r="M1770" t="str">
        <f t="shared" si="301"/>
        <v>124</v>
      </c>
      <c r="N1770" t="str">
        <f t="shared" si="302"/>
        <v>Centre de Santé</v>
      </c>
      <c r="O1770" t="str">
        <f>"60"</f>
        <v>60</v>
      </c>
      <c r="P1770" t="str">
        <f>"Association Loi 1901 non Reconnue d'Utilité Publique"</f>
        <v>Association Loi 1901 non Reconnue d'Utilité Publique</v>
      </c>
      <c r="Q1770" t="str">
        <f t="shared" si="305"/>
        <v>36</v>
      </c>
      <c r="R1770" t="str">
        <f t="shared" si="306"/>
        <v>Tarifs conventionnels assurance maladie</v>
      </c>
      <c r="U1770" t="str">
        <f>"920029113"</f>
        <v>920029113</v>
      </c>
    </row>
    <row r="1771" spans="1:21" x14ac:dyDescent="0.3">
      <c r="A1771" t="str">
        <f>"840019327"</f>
        <v>840019327</v>
      </c>
      <c r="D1771" t="str">
        <f>"CDS DENTIFREE"</f>
        <v>CDS DENTIFREE</v>
      </c>
      <c r="F1771" t="str">
        <f>"ESPACE SAINTE ANNE"</f>
        <v>ESPACE SAINTE ANNE</v>
      </c>
      <c r="G1771" t="str">
        <f>"REZ DE CHAUSSEE"</f>
        <v>REZ DE CHAUSSEE</v>
      </c>
      <c r="H1771" t="str">
        <f>"84700"</f>
        <v>84700</v>
      </c>
      <c r="I1771" t="str">
        <f>"SORGUES"</f>
        <v>SORGUES</v>
      </c>
      <c r="J1771" t="str">
        <f>"09 72 37 24 44 "</f>
        <v xml:space="preserve">09 72 37 24 44 </v>
      </c>
      <c r="K1771" t="str">
        <f>"09 58 57 07 16"</f>
        <v>09 58 57 07 16</v>
      </c>
      <c r="L1771" s="1">
        <v>42419</v>
      </c>
      <c r="M1771" t="str">
        <f t="shared" si="301"/>
        <v>124</v>
      </c>
      <c r="N1771" t="str">
        <f t="shared" si="302"/>
        <v>Centre de Santé</v>
      </c>
      <c r="O1771" t="str">
        <f>"60"</f>
        <v>60</v>
      </c>
      <c r="P1771" t="str">
        <f>"Association Loi 1901 non Reconnue d'Utilité Publique"</f>
        <v>Association Loi 1901 non Reconnue d'Utilité Publique</v>
      </c>
      <c r="Q1771" t="str">
        <f t="shared" si="305"/>
        <v>36</v>
      </c>
      <c r="R1771" t="str">
        <f t="shared" si="306"/>
        <v>Tarifs conventionnels assurance maladie</v>
      </c>
      <c r="U1771" t="str">
        <f>"780022927"</f>
        <v>780022927</v>
      </c>
    </row>
    <row r="1772" spans="1:21" x14ac:dyDescent="0.3">
      <c r="A1772" t="str">
        <f>"750058307"</f>
        <v>750058307</v>
      </c>
      <c r="B1772" t="str">
        <f>"812 304 707 00027"</f>
        <v>812 304 707 00027</v>
      </c>
      <c r="D1772" t="str">
        <f>"CDS MEDICO DENTAIRE RICHARD LENOIR"</f>
        <v>CDS MEDICO DENTAIRE RICHARD LENOIR</v>
      </c>
      <c r="F1772" t="str">
        <f>"107 BOULEVARD RICHARD LENOIR"</f>
        <v>107 BOULEVARD RICHARD LENOIR</v>
      </c>
      <c r="H1772" t="str">
        <f>"75011"</f>
        <v>75011</v>
      </c>
      <c r="I1772" t="str">
        <f>"PARIS"</f>
        <v>PARIS</v>
      </c>
      <c r="J1772" t="str">
        <f>"01 48 06 63 93 "</f>
        <v xml:space="preserve">01 48 06 63 93 </v>
      </c>
      <c r="L1772" s="1">
        <v>42415</v>
      </c>
      <c r="M1772" t="str">
        <f t="shared" si="301"/>
        <v>124</v>
      </c>
      <c r="N1772" t="str">
        <f t="shared" si="302"/>
        <v>Centre de Santé</v>
      </c>
      <c r="O1772" t="str">
        <f>"60"</f>
        <v>60</v>
      </c>
      <c r="P1772" t="str">
        <f>"Association Loi 1901 non Reconnue d'Utilité Publique"</f>
        <v>Association Loi 1901 non Reconnue d'Utilité Publique</v>
      </c>
      <c r="Q1772" t="str">
        <f t="shared" si="305"/>
        <v>36</v>
      </c>
      <c r="R1772" t="str">
        <f t="shared" si="306"/>
        <v>Tarifs conventionnels assurance maladie</v>
      </c>
      <c r="U1772" t="str">
        <f>"750058299"</f>
        <v>750058299</v>
      </c>
    </row>
    <row r="1773" spans="1:21" x14ac:dyDescent="0.3">
      <c r="A1773" t="str">
        <f>"910021930"</f>
        <v>910021930</v>
      </c>
      <c r="D1773" t="str">
        <f>"CDS DE MORIGNY CHAMPIGNY"</f>
        <v>CDS DE MORIGNY CHAMPIGNY</v>
      </c>
      <c r="F1773" t="str">
        <f>"AVENUE DU GENERAL DE GAULLE"</f>
        <v>AVENUE DU GENERAL DE GAULLE</v>
      </c>
      <c r="H1773" t="str">
        <f>"91150"</f>
        <v>91150</v>
      </c>
      <c r="I1773" t="str">
        <f>"MORIGNY CHAMPIGNY"</f>
        <v>MORIGNY CHAMPIGNY</v>
      </c>
      <c r="J1773" t="str">
        <f>"01 64 94 39 09 "</f>
        <v xml:space="preserve">01 64 94 39 09 </v>
      </c>
      <c r="L1773" s="1">
        <v>42415</v>
      </c>
      <c r="M1773" t="str">
        <f t="shared" si="301"/>
        <v>124</v>
      </c>
      <c r="N1773" t="str">
        <f t="shared" si="302"/>
        <v>Centre de Santé</v>
      </c>
      <c r="O1773" t="str">
        <f>"03"</f>
        <v>03</v>
      </c>
      <c r="P1773" t="str">
        <f>"Commune"</f>
        <v>Commune</v>
      </c>
      <c r="Q1773" t="str">
        <f t="shared" si="305"/>
        <v>36</v>
      </c>
      <c r="R1773" t="str">
        <f t="shared" si="306"/>
        <v>Tarifs conventionnels assurance maladie</v>
      </c>
      <c r="U1773" t="str">
        <f>"910021922"</f>
        <v>910021922</v>
      </c>
    </row>
    <row r="1774" spans="1:21" x14ac:dyDescent="0.3">
      <c r="A1774" t="str">
        <f>"930026539"</f>
        <v>930026539</v>
      </c>
      <c r="B1774" t="str">
        <f>"881 774 301 00017"</f>
        <v>881 774 301 00017</v>
      </c>
      <c r="D1774" t="str">
        <f>"CDS MEDICO DENTAIRE LES LILAS"</f>
        <v>CDS MEDICO DENTAIRE LES LILAS</v>
      </c>
      <c r="F1774" t="str">
        <f>"94 RUE DE PARIS"</f>
        <v>94 RUE DE PARIS</v>
      </c>
      <c r="H1774" t="str">
        <f>"93260"</f>
        <v>93260</v>
      </c>
      <c r="I1774" t="str">
        <f>"LES LILAS"</f>
        <v>LES LILAS</v>
      </c>
      <c r="L1774" s="1">
        <v>42415</v>
      </c>
      <c r="M1774" t="str">
        <f t="shared" si="301"/>
        <v>124</v>
      </c>
      <c r="N1774" t="str">
        <f t="shared" si="302"/>
        <v>Centre de Santé</v>
      </c>
      <c r="O1774" t="str">
        <f>"60"</f>
        <v>60</v>
      </c>
      <c r="P1774" t="str">
        <f>"Association Loi 1901 non Reconnue d'Utilité Publique"</f>
        <v>Association Loi 1901 non Reconnue d'Utilité Publique</v>
      </c>
      <c r="Q1774" t="str">
        <f t="shared" si="305"/>
        <v>36</v>
      </c>
      <c r="R1774" t="str">
        <f t="shared" si="306"/>
        <v>Tarifs conventionnels assurance maladie</v>
      </c>
      <c r="U1774" t="str">
        <f>"930031067"</f>
        <v>930031067</v>
      </c>
    </row>
    <row r="1775" spans="1:21" x14ac:dyDescent="0.3">
      <c r="A1775" t="str">
        <f>"950043018"</f>
        <v>950043018</v>
      </c>
      <c r="D1775" t="str">
        <f>"CDS MEDICO DENTAIRE VAILLANT COUTURIER"</f>
        <v>CDS MEDICO DENTAIRE VAILLANT COUTURIER</v>
      </c>
      <c r="F1775" t="str">
        <f>"52 RUE PAUL VAILLANT COUTURIER"</f>
        <v>52 RUE PAUL VAILLANT COUTURIER</v>
      </c>
      <c r="H1775" t="str">
        <f>"95100"</f>
        <v>95100</v>
      </c>
      <c r="I1775" t="str">
        <f>"ARGENTEUIL"</f>
        <v>ARGENTEUIL</v>
      </c>
      <c r="J1775" t="str">
        <f>"06 16 34 09 09 "</f>
        <v xml:space="preserve">06 16 34 09 09 </v>
      </c>
      <c r="L1775" s="1">
        <v>42412</v>
      </c>
      <c r="M1775" t="str">
        <f t="shared" si="301"/>
        <v>124</v>
      </c>
      <c r="N1775" t="str">
        <f t="shared" si="302"/>
        <v>Centre de Santé</v>
      </c>
      <c r="O1775" t="str">
        <f>"60"</f>
        <v>60</v>
      </c>
      <c r="P1775" t="str">
        <f>"Association Loi 1901 non Reconnue d'Utilité Publique"</f>
        <v>Association Loi 1901 non Reconnue d'Utilité Publique</v>
      </c>
      <c r="Q1775" t="str">
        <f t="shared" si="305"/>
        <v>36</v>
      </c>
      <c r="R1775" t="str">
        <f t="shared" si="306"/>
        <v>Tarifs conventionnels assurance maladie</v>
      </c>
      <c r="U1775" t="str">
        <f>"950043000"</f>
        <v>950043000</v>
      </c>
    </row>
    <row r="1776" spans="1:21" x14ac:dyDescent="0.3">
      <c r="A1776" t="str">
        <f>"130044951"</f>
        <v>130044951</v>
      </c>
      <c r="B1776" t="str">
        <f>"808 380 034 00013"</f>
        <v>808 380 034 00013</v>
      </c>
      <c r="D1776" t="str">
        <f>"CDS DENTAIRE CASTELLANE"</f>
        <v>CDS DENTAIRE CASTELLANE</v>
      </c>
      <c r="F1776" t="str">
        <f>"4 COURS GOUFFE"</f>
        <v>4 COURS GOUFFE</v>
      </c>
      <c r="H1776" t="str">
        <f>"13006"</f>
        <v>13006</v>
      </c>
      <c r="I1776" t="str">
        <f>"MARSEILLE"</f>
        <v>MARSEILLE</v>
      </c>
      <c r="J1776" t="str">
        <f>"04 91 26 55 55 "</f>
        <v xml:space="preserve">04 91 26 55 55 </v>
      </c>
      <c r="L1776" s="1">
        <v>42401</v>
      </c>
      <c r="M1776" t="str">
        <f t="shared" si="301"/>
        <v>124</v>
      </c>
      <c r="N1776" t="str">
        <f t="shared" si="302"/>
        <v>Centre de Santé</v>
      </c>
      <c r="O1776" t="str">
        <f>"60"</f>
        <v>60</v>
      </c>
      <c r="P1776" t="str">
        <f>"Association Loi 1901 non Reconnue d'Utilité Publique"</f>
        <v>Association Loi 1901 non Reconnue d'Utilité Publique</v>
      </c>
      <c r="Q1776" t="str">
        <f t="shared" si="305"/>
        <v>36</v>
      </c>
      <c r="R1776" t="str">
        <f t="shared" si="306"/>
        <v>Tarifs conventionnels assurance maladie</v>
      </c>
      <c r="U1776" t="str">
        <f>"130044944"</f>
        <v>130044944</v>
      </c>
    </row>
    <row r="1777" spans="1:21" x14ac:dyDescent="0.3">
      <c r="A1777" t="str">
        <f>"510024839"</f>
        <v>510024839</v>
      </c>
      <c r="B1777" t="str">
        <f>"794 105 650 00012"</f>
        <v>794 105 650 00012</v>
      </c>
      <c r="D1777" t="str">
        <f>"ASSOCIATION API DENTIFREE"</f>
        <v>ASSOCIATION API DENTIFREE</v>
      </c>
      <c r="F1777" t="str">
        <f>"6 RUE HENRI MOISSAN"</f>
        <v>6 RUE HENRI MOISSAN</v>
      </c>
      <c r="G1777" t="str">
        <f>"LE PARVIS"</f>
        <v>LE PARVIS</v>
      </c>
      <c r="H1777" t="str">
        <f>"51430"</f>
        <v>51430</v>
      </c>
      <c r="I1777" t="str">
        <f>"BEZANNES"</f>
        <v>BEZANNES</v>
      </c>
      <c r="J1777" t="str">
        <f>"01 39 55 43 54 "</f>
        <v xml:space="preserve">01 39 55 43 54 </v>
      </c>
      <c r="K1777" t="str">
        <f>"09 58 57 07 16"</f>
        <v>09 58 57 07 16</v>
      </c>
      <c r="L1777" s="1">
        <v>42401</v>
      </c>
      <c r="M1777" t="str">
        <f t="shared" si="301"/>
        <v>124</v>
      </c>
      <c r="N1777" t="str">
        <f t="shared" si="302"/>
        <v>Centre de Santé</v>
      </c>
      <c r="O1777" t="str">
        <f>"60"</f>
        <v>60</v>
      </c>
      <c r="P1777" t="str">
        <f>"Association Loi 1901 non Reconnue d'Utilité Publique"</f>
        <v>Association Loi 1901 non Reconnue d'Utilité Publique</v>
      </c>
      <c r="Q1777" t="str">
        <f t="shared" si="305"/>
        <v>36</v>
      </c>
      <c r="R1777" t="str">
        <f t="shared" si="306"/>
        <v>Tarifs conventionnels assurance maladie</v>
      </c>
      <c r="U1777" t="str">
        <f>"780022661"</f>
        <v>780022661</v>
      </c>
    </row>
    <row r="1778" spans="1:21" x14ac:dyDescent="0.3">
      <c r="A1778" t="str">
        <f>"850026220"</f>
        <v>850026220</v>
      </c>
      <c r="B1778" t="str">
        <f>"218 500 783 00053"</f>
        <v>218 500 783 00053</v>
      </c>
      <c r="D1778" t="str">
        <f>"CENTRE MUNICIPAL DE SANTE DE DAMVIX"</f>
        <v>CENTRE MUNICIPAL DE SANTE DE DAMVIX</v>
      </c>
      <c r="F1778" t="str">
        <f>"1 PLACE ANDRÉ AUDOUIN"</f>
        <v>1 PLACE ANDRÉ AUDOUIN</v>
      </c>
      <c r="H1778" t="str">
        <f>"85420"</f>
        <v>85420</v>
      </c>
      <c r="I1778" t="str">
        <f>"DAMVIX"</f>
        <v>DAMVIX</v>
      </c>
      <c r="J1778" t="str">
        <f>"02 51 87 14 20 "</f>
        <v xml:space="preserve">02 51 87 14 20 </v>
      </c>
      <c r="L1778" s="1">
        <v>42394</v>
      </c>
      <c r="M1778" t="str">
        <f t="shared" si="301"/>
        <v>124</v>
      </c>
      <c r="N1778" t="str">
        <f t="shared" si="302"/>
        <v>Centre de Santé</v>
      </c>
      <c r="O1778" t="str">
        <f>"03"</f>
        <v>03</v>
      </c>
      <c r="P1778" t="str">
        <f>"Commune"</f>
        <v>Commune</v>
      </c>
      <c r="Q1778" t="str">
        <f t="shared" si="305"/>
        <v>36</v>
      </c>
      <c r="R1778" t="str">
        <f t="shared" si="306"/>
        <v>Tarifs conventionnels assurance maladie</v>
      </c>
      <c r="U1778" t="str">
        <f>"850026212"</f>
        <v>850026212</v>
      </c>
    </row>
    <row r="1779" spans="1:21" x14ac:dyDescent="0.3">
      <c r="A1779" t="str">
        <f>"750058281"</f>
        <v>750058281</v>
      </c>
      <c r="B1779" t="str">
        <f>"775 726 706 00010"</f>
        <v>775 726 706 00010</v>
      </c>
      <c r="D1779" t="str">
        <f>"CDS PARIS 18"</f>
        <v>CDS PARIS 18</v>
      </c>
      <c r="F1779" t="str">
        <f>"3 RUE ROMY SCHNEIDER"</f>
        <v>3 RUE ROMY SCHNEIDER</v>
      </c>
      <c r="H1779" t="str">
        <f>"75018"</f>
        <v>75018</v>
      </c>
      <c r="I1779" t="str">
        <f>"PARIS"</f>
        <v>PARIS</v>
      </c>
      <c r="J1779" t="str">
        <f>"01 44 12 73 19 "</f>
        <v xml:space="preserve">01 44 12 73 19 </v>
      </c>
      <c r="K1779" t="str">
        <f>"01 44 12 88 12"</f>
        <v>01 44 12 88 12</v>
      </c>
      <c r="L1779" s="1">
        <v>42390</v>
      </c>
      <c r="M1779" t="str">
        <f t="shared" si="301"/>
        <v>124</v>
      </c>
      <c r="N1779" t="str">
        <f t="shared" si="302"/>
        <v>Centre de Santé</v>
      </c>
      <c r="O1779" t="str">
        <f>"61"</f>
        <v>61</v>
      </c>
      <c r="P1779" t="str">
        <f>"Association Loi 1901 Reconnue d'Utilité Publique"</f>
        <v>Association Loi 1901 Reconnue d'Utilité Publique</v>
      </c>
      <c r="Q1779" t="str">
        <f t="shared" si="305"/>
        <v>36</v>
      </c>
      <c r="R1779" t="str">
        <f t="shared" si="306"/>
        <v>Tarifs conventionnels assurance maladie</v>
      </c>
      <c r="U1779" t="str">
        <f>"920000445"</f>
        <v>920000445</v>
      </c>
    </row>
    <row r="1780" spans="1:21" x14ac:dyDescent="0.3">
      <c r="A1780" t="str">
        <f>"070007455"</f>
        <v>070007455</v>
      </c>
      <c r="B1780" t="str">
        <f>"200 011 385 00107"</f>
        <v>200 011 385 00107</v>
      </c>
      <c r="D1780" t="str">
        <f>"CENTRE DE SANTE CH ARDECHE MERIDIONALE"</f>
        <v>CENTRE DE SANTE CH ARDECHE MERIDIONALE</v>
      </c>
      <c r="F1780" t="str">
        <f>"6 RUE LESIN LACOSTE"</f>
        <v>6 RUE LESIN LACOSTE</v>
      </c>
      <c r="G1780" t="str">
        <f>"BP 50146"</f>
        <v>BP 50146</v>
      </c>
      <c r="H1780" t="str">
        <f>"07200"</f>
        <v>07200</v>
      </c>
      <c r="I1780" t="str">
        <f>"AUBENAS"</f>
        <v>AUBENAS</v>
      </c>
      <c r="J1780" t="str">
        <f>"04 75 35 65 11 "</f>
        <v xml:space="preserve">04 75 35 65 11 </v>
      </c>
      <c r="L1780" s="1">
        <v>42389</v>
      </c>
      <c r="M1780" t="str">
        <f t="shared" si="301"/>
        <v>124</v>
      </c>
      <c r="N1780" t="str">
        <f t="shared" si="302"/>
        <v>Centre de Santé</v>
      </c>
      <c r="O1780" t="str">
        <f>"14"</f>
        <v>14</v>
      </c>
      <c r="P1780" t="str">
        <f>"Etablissement Public Intercommunal d'Hospitalisation"</f>
        <v>Etablissement Public Intercommunal d'Hospitalisation</v>
      </c>
      <c r="Q1780" t="str">
        <f t="shared" si="305"/>
        <v>36</v>
      </c>
      <c r="R1780" t="str">
        <f t="shared" si="306"/>
        <v>Tarifs conventionnels assurance maladie</v>
      </c>
      <c r="U1780" t="str">
        <f>"070005566"</f>
        <v>070005566</v>
      </c>
    </row>
    <row r="1781" spans="1:21" x14ac:dyDescent="0.3">
      <c r="A1781" t="str">
        <f>"250020096"</f>
        <v>250020096</v>
      </c>
      <c r="B1781" t="str">
        <f>"262 504 293 00479"</f>
        <v>262 504 293 00479</v>
      </c>
      <c r="D1781" t="str">
        <f>"CENTRE DE SANTE SANTE ET PREVENTION"</f>
        <v>CENTRE DE SANTE SANTE ET PREVENTION</v>
      </c>
      <c r="F1781" t="str">
        <f>"RUE DU DOCTEUR CHARCOT"</f>
        <v>RUE DU DOCTEUR CHARCOT</v>
      </c>
      <c r="H1781" t="str">
        <f>"25220"</f>
        <v>25220</v>
      </c>
      <c r="I1781" t="str">
        <f>"NOVILLARS"</f>
        <v>NOVILLARS</v>
      </c>
      <c r="J1781" t="str">
        <f>"03 81 60 58 57 "</f>
        <v xml:space="preserve">03 81 60 58 57 </v>
      </c>
      <c r="K1781" t="str">
        <f>"03 81 60 58 68"</f>
        <v>03 81 60 58 68</v>
      </c>
      <c r="L1781" s="1">
        <v>42383</v>
      </c>
      <c r="M1781" t="str">
        <f t="shared" si="301"/>
        <v>124</v>
      </c>
      <c r="N1781" t="str">
        <f t="shared" si="302"/>
        <v>Centre de Santé</v>
      </c>
      <c r="O1781" t="str">
        <f>"11"</f>
        <v>11</v>
      </c>
      <c r="P1781" t="str">
        <f>"Etablissement Public Départemental d'Hospitalisation"</f>
        <v>Etablissement Public Départemental d'Hospitalisation</v>
      </c>
      <c r="Q1781" t="str">
        <f t="shared" si="305"/>
        <v>36</v>
      </c>
      <c r="R1781" t="str">
        <f t="shared" si="306"/>
        <v>Tarifs conventionnels assurance maladie</v>
      </c>
      <c r="U1781" t="str">
        <f>"250000460"</f>
        <v>250000460</v>
      </c>
    </row>
    <row r="1782" spans="1:21" x14ac:dyDescent="0.3">
      <c r="A1782" t="str">
        <f>"920029931"</f>
        <v>920029931</v>
      </c>
      <c r="D1782" t="str">
        <f>"CDS MEDICO DENTAIRE BOULOGNE"</f>
        <v>CDS MEDICO DENTAIRE BOULOGNE</v>
      </c>
      <c r="F1782" t="str">
        <f>"76 AVENUE EDOUARD VAILLANT"</f>
        <v>76 AVENUE EDOUARD VAILLANT</v>
      </c>
      <c r="H1782" t="str">
        <f>"92100"</f>
        <v>92100</v>
      </c>
      <c r="I1782" t="str">
        <f>"BOULOGNE BILLANCOURT"</f>
        <v>BOULOGNE BILLANCOURT</v>
      </c>
      <c r="L1782" s="1">
        <v>42380</v>
      </c>
      <c r="M1782" t="str">
        <f t="shared" si="301"/>
        <v>124</v>
      </c>
      <c r="N1782" t="str">
        <f t="shared" si="302"/>
        <v>Centre de Santé</v>
      </c>
      <c r="O1782" t="str">
        <f t="shared" ref="O1782:O1789" si="307">"60"</f>
        <v>60</v>
      </c>
      <c r="P1782" t="str">
        <f t="shared" ref="P1782:P1789" si="308">"Association Loi 1901 non Reconnue d'Utilité Publique"</f>
        <v>Association Loi 1901 non Reconnue d'Utilité Publique</v>
      </c>
      <c r="Q1782" t="str">
        <f t="shared" si="305"/>
        <v>36</v>
      </c>
      <c r="R1782" t="str">
        <f t="shared" si="306"/>
        <v>Tarifs conventionnels assurance maladie</v>
      </c>
      <c r="U1782" t="str">
        <f>"920029592"</f>
        <v>920029592</v>
      </c>
    </row>
    <row r="1783" spans="1:21" x14ac:dyDescent="0.3">
      <c r="A1783" t="str">
        <f>"950042978"</f>
        <v>950042978</v>
      </c>
      <c r="D1783" t="str">
        <f>"CDS DENTAIRE DE SARCELLES"</f>
        <v>CDS DENTAIRE DE SARCELLES</v>
      </c>
      <c r="F1783" t="str">
        <f>"15 RUE ERIC DE SAINT SAUVEUR"</f>
        <v>15 RUE ERIC DE SAINT SAUVEUR</v>
      </c>
      <c r="H1783" t="str">
        <f>"95200"</f>
        <v>95200</v>
      </c>
      <c r="I1783" t="str">
        <f>"SARCELLES"</f>
        <v>SARCELLES</v>
      </c>
      <c r="J1783" t="str">
        <f>"06 71 39 04 46 "</f>
        <v xml:space="preserve">06 71 39 04 46 </v>
      </c>
      <c r="L1783" s="1">
        <v>42380</v>
      </c>
      <c r="M1783" t="str">
        <f t="shared" si="301"/>
        <v>124</v>
      </c>
      <c r="N1783" t="str">
        <f t="shared" si="302"/>
        <v>Centre de Santé</v>
      </c>
      <c r="O1783" t="str">
        <f t="shared" si="307"/>
        <v>60</v>
      </c>
      <c r="P1783" t="str">
        <f t="shared" si="308"/>
        <v>Association Loi 1901 non Reconnue d'Utilité Publique</v>
      </c>
      <c r="Q1783" t="str">
        <f t="shared" si="305"/>
        <v>36</v>
      </c>
      <c r="R1783" t="str">
        <f t="shared" si="306"/>
        <v>Tarifs conventionnels assurance maladie</v>
      </c>
      <c r="U1783" t="str">
        <f>"950042960"</f>
        <v>950042960</v>
      </c>
    </row>
    <row r="1784" spans="1:21" x14ac:dyDescent="0.3">
      <c r="A1784" t="str">
        <f>"750058190"</f>
        <v>750058190</v>
      </c>
      <c r="B1784" t="str">
        <f>"814 312 369 00014"</f>
        <v>814 312 369 00014</v>
      </c>
      <c r="D1784" t="str">
        <f>"CDS SAINT MARTIN"</f>
        <v>CDS SAINT MARTIN</v>
      </c>
      <c r="F1784" t="str">
        <f>"12 RUE DU FAUBOURG SAINT MARTIN"</f>
        <v>12 RUE DU FAUBOURG SAINT MARTIN</v>
      </c>
      <c r="H1784" t="str">
        <f>"75010"</f>
        <v>75010</v>
      </c>
      <c r="I1784" t="str">
        <f>"PARIS"</f>
        <v>PARIS</v>
      </c>
      <c r="J1784" t="str">
        <f>"06 25 84 86 25 "</f>
        <v xml:space="preserve">06 25 84 86 25 </v>
      </c>
      <c r="K1784" t="str">
        <f>"01 77 50 03 83"</f>
        <v>01 77 50 03 83</v>
      </c>
      <c r="L1784" s="1">
        <v>42376</v>
      </c>
      <c r="M1784" t="str">
        <f t="shared" si="301"/>
        <v>124</v>
      </c>
      <c r="N1784" t="str">
        <f t="shared" si="302"/>
        <v>Centre de Santé</v>
      </c>
      <c r="O1784" t="str">
        <f t="shared" si="307"/>
        <v>60</v>
      </c>
      <c r="P1784" t="str">
        <f t="shared" si="308"/>
        <v>Association Loi 1901 non Reconnue d'Utilité Publique</v>
      </c>
      <c r="Q1784" t="str">
        <f t="shared" si="305"/>
        <v>36</v>
      </c>
      <c r="R1784" t="str">
        <f t="shared" si="306"/>
        <v>Tarifs conventionnels assurance maladie</v>
      </c>
      <c r="U1784" t="str">
        <f>"750058182"</f>
        <v>750058182</v>
      </c>
    </row>
    <row r="1785" spans="1:21" x14ac:dyDescent="0.3">
      <c r="A1785" t="str">
        <f>"750058208"</f>
        <v>750058208</v>
      </c>
      <c r="B1785" t="str">
        <f>"879 548 527 00016"</f>
        <v>879 548 527 00016</v>
      </c>
      <c r="D1785" t="str">
        <f>"CDS SAINT ANTOINE"</f>
        <v>CDS SAINT ANTOINE</v>
      </c>
      <c r="F1785" t="str">
        <f>"155 RUE DU FAUBOURG SAINT ANTOINE"</f>
        <v>155 RUE DU FAUBOURG SAINT ANTOINE</v>
      </c>
      <c r="H1785" t="str">
        <f>"75011"</f>
        <v>75011</v>
      </c>
      <c r="I1785" t="str">
        <f>"PARIS"</f>
        <v>PARIS</v>
      </c>
      <c r="J1785" t="str">
        <f>"01 43 46 29 29 "</f>
        <v xml:space="preserve">01 43 46 29 29 </v>
      </c>
      <c r="L1785" s="1">
        <v>42376</v>
      </c>
      <c r="M1785" t="str">
        <f t="shared" si="301"/>
        <v>124</v>
      </c>
      <c r="N1785" t="str">
        <f t="shared" si="302"/>
        <v>Centre de Santé</v>
      </c>
      <c r="O1785" t="str">
        <f t="shared" si="307"/>
        <v>60</v>
      </c>
      <c r="P1785" t="str">
        <f t="shared" si="308"/>
        <v>Association Loi 1901 non Reconnue d'Utilité Publique</v>
      </c>
      <c r="Q1785" t="str">
        <f t="shared" si="305"/>
        <v>36</v>
      </c>
      <c r="R1785" t="str">
        <f t="shared" si="306"/>
        <v>Tarifs conventionnels assurance maladie</v>
      </c>
      <c r="U1785" t="str">
        <f>"750065013"</f>
        <v>750065013</v>
      </c>
    </row>
    <row r="1786" spans="1:21" x14ac:dyDescent="0.3">
      <c r="A1786" t="str">
        <f>"750058232"</f>
        <v>750058232</v>
      </c>
      <c r="B1786" t="str">
        <f>"802 235 127 00031"</f>
        <v>802 235 127 00031</v>
      </c>
      <c r="D1786" t="str">
        <f>"CDS PORTE D ITALIE"</f>
        <v>CDS PORTE D ITALIE</v>
      </c>
      <c r="F1786" t="str">
        <f>"190 AVENUE D ITALIE"</f>
        <v>190 AVENUE D ITALIE</v>
      </c>
      <c r="H1786" t="str">
        <f>"75013"</f>
        <v>75013</v>
      </c>
      <c r="I1786" t="str">
        <f>"PARIS"</f>
        <v>PARIS</v>
      </c>
      <c r="J1786" t="str">
        <f>"01 80 80 91 91 "</f>
        <v xml:space="preserve">01 80 80 91 91 </v>
      </c>
      <c r="K1786" t="str">
        <f>"01 77 50 03 83"</f>
        <v>01 77 50 03 83</v>
      </c>
      <c r="L1786" s="1">
        <v>42376</v>
      </c>
      <c r="M1786" t="str">
        <f t="shared" si="301"/>
        <v>124</v>
      </c>
      <c r="N1786" t="str">
        <f t="shared" si="302"/>
        <v>Centre de Santé</v>
      </c>
      <c r="O1786" t="str">
        <f t="shared" si="307"/>
        <v>60</v>
      </c>
      <c r="P1786" t="str">
        <f t="shared" si="308"/>
        <v>Association Loi 1901 non Reconnue d'Utilité Publique</v>
      </c>
      <c r="Q1786" t="str">
        <f t="shared" si="305"/>
        <v>36</v>
      </c>
      <c r="R1786" t="str">
        <f t="shared" si="306"/>
        <v>Tarifs conventionnels assurance maladie</v>
      </c>
      <c r="U1786" t="str">
        <f>"750056392"</f>
        <v>750056392</v>
      </c>
    </row>
    <row r="1787" spans="1:21" x14ac:dyDescent="0.3">
      <c r="A1787" t="str">
        <f>"930026463"</f>
        <v>930026463</v>
      </c>
      <c r="B1787" t="str">
        <f>"813 848 108 00011"</f>
        <v>813 848 108 00011</v>
      </c>
      <c r="D1787" t="str">
        <f>"CDS DENTAIRE BAGNOLET"</f>
        <v>CDS DENTAIRE BAGNOLET</v>
      </c>
      <c r="F1787" t="str">
        <f>"29 RUE FRANÇOIS MITTERAND"</f>
        <v>29 RUE FRANÇOIS MITTERAND</v>
      </c>
      <c r="H1787" t="str">
        <f>"93170"</f>
        <v>93170</v>
      </c>
      <c r="I1787" t="str">
        <f>"BAGNOLET"</f>
        <v>BAGNOLET</v>
      </c>
      <c r="J1787" t="str">
        <f>"01 80 89 51 30 "</f>
        <v xml:space="preserve">01 80 89 51 30 </v>
      </c>
      <c r="K1787" t="str">
        <f>"01 80 89 51 31"</f>
        <v>01 80 89 51 31</v>
      </c>
      <c r="L1787" s="1">
        <v>42376</v>
      </c>
      <c r="M1787" t="str">
        <f t="shared" si="301"/>
        <v>124</v>
      </c>
      <c r="N1787" t="str">
        <f t="shared" si="302"/>
        <v>Centre de Santé</v>
      </c>
      <c r="O1787" t="str">
        <f t="shared" si="307"/>
        <v>60</v>
      </c>
      <c r="P1787" t="str">
        <f t="shared" si="308"/>
        <v>Association Loi 1901 non Reconnue d'Utilité Publique</v>
      </c>
      <c r="Q1787" t="str">
        <f t="shared" si="305"/>
        <v>36</v>
      </c>
      <c r="R1787" t="str">
        <f t="shared" si="306"/>
        <v>Tarifs conventionnels assurance maladie</v>
      </c>
      <c r="U1787" t="str">
        <f>"930026455"</f>
        <v>930026455</v>
      </c>
    </row>
    <row r="1788" spans="1:21" x14ac:dyDescent="0.3">
      <c r="A1788" t="str">
        <f>"940022684"</f>
        <v>940022684</v>
      </c>
      <c r="B1788" t="str">
        <f>"813 651 593 00010"</f>
        <v>813 651 593 00010</v>
      </c>
      <c r="D1788" t="str">
        <f>"CDS DENTAIRE MAISONS ALFORT"</f>
        <v>CDS DENTAIRE MAISONS ALFORT</v>
      </c>
      <c r="F1788" t="str">
        <f>"111 RUE ROGER FRANCOIS"</f>
        <v>111 RUE ROGER FRANCOIS</v>
      </c>
      <c r="H1788" t="str">
        <f>"94700"</f>
        <v>94700</v>
      </c>
      <c r="I1788" t="str">
        <f>"MAISONS ALFORT"</f>
        <v>MAISONS ALFORT</v>
      </c>
      <c r="J1788" t="str">
        <f>"01 84 77 04 70 "</f>
        <v xml:space="preserve">01 84 77 04 70 </v>
      </c>
      <c r="L1788" s="1">
        <v>42376</v>
      </c>
      <c r="M1788" t="str">
        <f t="shared" si="301"/>
        <v>124</v>
      </c>
      <c r="N1788" t="str">
        <f t="shared" si="302"/>
        <v>Centre de Santé</v>
      </c>
      <c r="O1788" t="str">
        <f t="shared" si="307"/>
        <v>60</v>
      </c>
      <c r="P1788" t="str">
        <f t="shared" si="308"/>
        <v>Association Loi 1901 non Reconnue d'Utilité Publique</v>
      </c>
      <c r="Q1788" t="str">
        <f t="shared" si="305"/>
        <v>36</v>
      </c>
      <c r="R1788" t="str">
        <f t="shared" si="306"/>
        <v>Tarifs conventionnels assurance maladie</v>
      </c>
      <c r="U1788" t="str">
        <f>"920029923"</f>
        <v>920029923</v>
      </c>
    </row>
    <row r="1789" spans="1:21" x14ac:dyDescent="0.3">
      <c r="A1789" t="str">
        <f>"750058224"</f>
        <v>750058224</v>
      </c>
      <c r="B1789" t="str">
        <f>"814 920 443 00011"</f>
        <v>814 920 443 00011</v>
      </c>
      <c r="D1789" t="str">
        <f>"CDS PARIS 13"</f>
        <v>CDS PARIS 13</v>
      </c>
      <c r="F1789" t="str">
        <f>"4 RUE JEANNE D ARC"</f>
        <v>4 RUE JEANNE D ARC</v>
      </c>
      <c r="H1789" t="str">
        <f>"75013"</f>
        <v>75013</v>
      </c>
      <c r="I1789" t="str">
        <f>"PARIS"</f>
        <v>PARIS</v>
      </c>
      <c r="J1789" t="str">
        <f>"01 82 52 31 31 "</f>
        <v xml:space="preserve">01 82 52 31 31 </v>
      </c>
      <c r="K1789" t="str">
        <f>"09 57 29 82 86"</f>
        <v>09 57 29 82 86</v>
      </c>
      <c r="L1789" s="1">
        <v>42373</v>
      </c>
      <c r="M1789" t="str">
        <f t="shared" si="301"/>
        <v>124</v>
      </c>
      <c r="N1789" t="str">
        <f t="shared" si="302"/>
        <v>Centre de Santé</v>
      </c>
      <c r="O1789" t="str">
        <f t="shared" si="307"/>
        <v>60</v>
      </c>
      <c r="P1789" t="str">
        <f t="shared" si="308"/>
        <v>Association Loi 1901 non Reconnue d'Utilité Publique</v>
      </c>
      <c r="Q1789" t="str">
        <f t="shared" si="305"/>
        <v>36</v>
      </c>
      <c r="R1789" t="str">
        <f t="shared" si="306"/>
        <v>Tarifs conventionnels assurance maladie</v>
      </c>
      <c r="U1789" t="str">
        <f>"750058216"</f>
        <v>750058216</v>
      </c>
    </row>
    <row r="1790" spans="1:21" x14ac:dyDescent="0.3">
      <c r="A1790" t="str">
        <f>"070007463"</f>
        <v>070007463</v>
      </c>
      <c r="D1790" t="str">
        <f>"CENTRE DE SANTE HOPITAL SAINT-FELICIEN"</f>
        <v>CENTRE DE SANTE HOPITAL SAINT-FELICIEN</v>
      </c>
      <c r="F1790" t="str">
        <f>"2 RUE DU PONT VIEUX"</f>
        <v>2 RUE DU PONT VIEUX</v>
      </c>
      <c r="H1790" t="str">
        <f>"07410"</f>
        <v>07410</v>
      </c>
      <c r="I1790" t="str">
        <f>"ST FELICIEN"</f>
        <v>ST FELICIEN</v>
      </c>
      <c r="J1790" t="str">
        <f>"04 75 06 02 00 "</f>
        <v xml:space="preserve">04 75 06 02 00 </v>
      </c>
      <c r="L1790" s="1">
        <v>42372</v>
      </c>
      <c r="M1790" t="str">
        <f t="shared" si="301"/>
        <v>124</v>
      </c>
      <c r="N1790" t="str">
        <f t="shared" si="302"/>
        <v>Centre de Santé</v>
      </c>
      <c r="O1790" t="str">
        <f>"13"</f>
        <v>13</v>
      </c>
      <c r="P1790" t="str">
        <f>"Etablissement Public Communal d'Hospitalisation"</f>
        <v>Etablissement Public Communal d'Hospitalisation</v>
      </c>
      <c r="Q1790" t="str">
        <f t="shared" si="305"/>
        <v>36</v>
      </c>
      <c r="R1790" t="str">
        <f t="shared" si="306"/>
        <v>Tarifs conventionnels assurance maladie</v>
      </c>
      <c r="U1790" t="str">
        <f>"070780382"</f>
        <v>070780382</v>
      </c>
    </row>
    <row r="1791" spans="1:21" x14ac:dyDescent="0.3">
      <c r="A1791" t="str">
        <f>"750058133"</f>
        <v>750058133</v>
      </c>
      <c r="B1791" t="str">
        <f>"814 641 247 00014"</f>
        <v>814 641 247 00014</v>
      </c>
      <c r="D1791" t="str">
        <f>"CDS DES BUTTES CHAUMONT"</f>
        <v>CDS DES BUTTES CHAUMONT</v>
      </c>
      <c r="F1791" t="str">
        <f>"63 RUE MANIN"</f>
        <v>63 RUE MANIN</v>
      </c>
      <c r="H1791" t="str">
        <f>"75019"</f>
        <v>75019</v>
      </c>
      <c r="I1791" t="str">
        <f>"PARIS"</f>
        <v>PARIS</v>
      </c>
      <c r="J1791" t="str">
        <f>"01 48 06 21 06 "</f>
        <v xml:space="preserve">01 48 06 21 06 </v>
      </c>
      <c r="K1791" t="str">
        <f>"01 49 23 90 21"</f>
        <v>01 49 23 90 21</v>
      </c>
      <c r="L1791" s="1">
        <v>42367</v>
      </c>
      <c r="M1791" t="str">
        <f t="shared" si="301"/>
        <v>124</v>
      </c>
      <c r="N1791" t="str">
        <f t="shared" si="302"/>
        <v>Centre de Santé</v>
      </c>
      <c r="O1791" t="str">
        <f t="shared" ref="O1791:O1800" si="309">"60"</f>
        <v>60</v>
      </c>
      <c r="P1791" t="str">
        <f t="shared" ref="P1791:P1800" si="310">"Association Loi 1901 non Reconnue d'Utilité Publique"</f>
        <v>Association Loi 1901 non Reconnue d'Utilité Publique</v>
      </c>
      <c r="Q1791" t="str">
        <f t="shared" si="305"/>
        <v>36</v>
      </c>
      <c r="R1791" t="str">
        <f t="shared" si="306"/>
        <v>Tarifs conventionnels assurance maladie</v>
      </c>
      <c r="U1791" t="str">
        <f>"750058125"</f>
        <v>750058125</v>
      </c>
    </row>
    <row r="1792" spans="1:21" x14ac:dyDescent="0.3">
      <c r="A1792" t="str">
        <f>"060024353"</f>
        <v>060024353</v>
      </c>
      <c r="B1792" t="str">
        <f>"809 725 062 00016"</f>
        <v>809 725 062 00016</v>
      </c>
      <c r="D1792" t="str">
        <f>"CDS DENTAIRE CANNES LA BOCCA"</f>
        <v>CDS DENTAIRE CANNES LA BOCCA</v>
      </c>
      <c r="E1792" t="str">
        <f>"TECHNOPARK"</f>
        <v>TECHNOPARK</v>
      </c>
      <c r="F1792" t="str">
        <f>"12 AVENUE DES ARLUCS"</f>
        <v>12 AVENUE DES ARLUCS</v>
      </c>
      <c r="H1792" t="str">
        <f>"06150"</f>
        <v>06150</v>
      </c>
      <c r="I1792" t="str">
        <f>"CANNES"</f>
        <v>CANNES</v>
      </c>
      <c r="J1792" t="str">
        <f>"04 92 97 83 17 "</f>
        <v xml:space="preserve">04 92 97 83 17 </v>
      </c>
      <c r="L1792" s="1">
        <v>42352</v>
      </c>
      <c r="M1792" t="str">
        <f t="shared" si="301"/>
        <v>124</v>
      </c>
      <c r="N1792" t="str">
        <f t="shared" si="302"/>
        <v>Centre de Santé</v>
      </c>
      <c r="O1792" t="str">
        <f t="shared" si="309"/>
        <v>60</v>
      </c>
      <c r="P1792" t="str">
        <f t="shared" si="310"/>
        <v>Association Loi 1901 non Reconnue d'Utilité Publique</v>
      </c>
      <c r="Q1792" t="str">
        <f t="shared" si="305"/>
        <v>36</v>
      </c>
      <c r="R1792" t="str">
        <f t="shared" si="306"/>
        <v>Tarifs conventionnels assurance maladie</v>
      </c>
      <c r="U1792" t="str">
        <f>"060024346"</f>
        <v>060024346</v>
      </c>
    </row>
    <row r="1793" spans="1:21" x14ac:dyDescent="0.3">
      <c r="A1793" t="str">
        <f>"670017763"</f>
        <v>670017763</v>
      </c>
      <c r="B1793" t="str">
        <f>"794 105 650 00053"</f>
        <v>794 105 650 00053</v>
      </c>
      <c r="D1793" t="str">
        <f>"CENTRE DENTAIRE DENTIFREE"</f>
        <v>CENTRE DENTAIRE DENTIFREE</v>
      </c>
      <c r="E1793" t="str">
        <f>"BAT M7"</f>
        <v>BAT M7</v>
      </c>
      <c r="F1793" t="str">
        <f>"9 RUE DURANCE"</f>
        <v>9 RUE DURANCE</v>
      </c>
      <c r="H1793" t="str">
        <f>"67100"</f>
        <v>67100</v>
      </c>
      <c r="I1793" t="str">
        <f>"STRASBOURG"</f>
        <v>STRASBOURG</v>
      </c>
      <c r="J1793" t="str">
        <f>"03 88 79 82 69 "</f>
        <v xml:space="preserve">03 88 79 82 69 </v>
      </c>
      <c r="K1793" t="str">
        <f>"09 58 57 07 16"</f>
        <v>09 58 57 07 16</v>
      </c>
      <c r="L1793" s="1">
        <v>42348</v>
      </c>
      <c r="M1793" t="str">
        <f t="shared" si="301"/>
        <v>124</v>
      </c>
      <c r="N1793" t="str">
        <f t="shared" si="302"/>
        <v>Centre de Santé</v>
      </c>
      <c r="O1793" t="str">
        <f t="shared" si="309"/>
        <v>60</v>
      </c>
      <c r="P1793" t="str">
        <f t="shared" si="310"/>
        <v>Association Loi 1901 non Reconnue d'Utilité Publique</v>
      </c>
      <c r="Q1793" t="str">
        <f t="shared" si="305"/>
        <v>36</v>
      </c>
      <c r="R1793" t="str">
        <f t="shared" si="306"/>
        <v>Tarifs conventionnels assurance maladie</v>
      </c>
      <c r="U1793" t="str">
        <f>"780022927"</f>
        <v>780022927</v>
      </c>
    </row>
    <row r="1794" spans="1:21" x14ac:dyDescent="0.3">
      <c r="A1794" t="str">
        <f>"300017282"</f>
        <v>300017282</v>
      </c>
      <c r="B1794" t="str">
        <f>"812 686 848 00019"</f>
        <v>812 686 848 00019</v>
      </c>
      <c r="D1794" t="str">
        <f>"CDS INFIRMIER AES NIMES"</f>
        <v>CDS INFIRMIER AES NIMES</v>
      </c>
      <c r="F1794" t="str">
        <f>"3 RUE DES TONDEURS"</f>
        <v>3 RUE DES TONDEURS</v>
      </c>
      <c r="H1794" t="str">
        <f>"30000"</f>
        <v>30000</v>
      </c>
      <c r="I1794" t="str">
        <f>"NIMES"</f>
        <v>NIMES</v>
      </c>
      <c r="J1794" t="str">
        <f>"06 09 87 37 46 "</f>
        <v xml:space="preserve">06 09 87 37 46 </v>
      </c>
      <c r="L1794" s="1">
        <v>42339</v>
      </c>
      <c r="M1794" t="str">
        <f t="shared" ref="M1794:M1857" si="311">"124"</f>
        <v>124</v>
      </c>
      <c r="N1794" t="str">
        <f t="shared" ref="N1794:N1857" si="312">"Centre de Santé"</f>
        <v>Centre de Santé</v>
      </c>
      <c r="O1794" t="str">
        <f t="shared" si="309"/>
        <v>60</v>
      </c>
      <c r="P1794" t="str">
        <f t="shared" si="310"/>
        <v>Association Loi 1901 non Reconnue d'Utilité Publique</v>
      </c>
      <c r="Q1794" t="str">
        <f t="shared" si="305"/>
        <v>36</v>
      </c>
      <c r="R1794" t="str">
        <f t="shared" si="306"/>
        <v>Tarifs conventionnels assurance maladie</v>
      </c>
      <c r="U1794" t="str">
        <f>"300017274"</f>
        <v>300017274</v>
      </c>
    </row>
    <row r="1795" spans="1:21" x14ac:dyDescent="0.3">
      <c r="A1795" t="str">
        <f>"750057895"</f>
        <v>750057895</v>
      </c>
      <c r="D1795" t="str">
        <f>"CDS AURIOL CSA"</f>
        <v>CDS AURIOL CSA</v>
      </c>
      <c r="F1795" t="str">
        <f>"169 BOULEVARD VINVENT AURIOL"</f>
        <v>169 BOULEVARD VINVENT AURIOL</v>
      </c>
      <c r="H1795" t="str">
        <f>"75013"</f>
        <v>75013</v>
      </c>
      <c r="I1795" t="str">
        <f>"PARIS"</f>
        <v>PARIS</v>
      </c>
      <c r="J1795" t="str">
        <f>"01 45 85 16 72 "</f>
        <v xml:space="preserve">01 45 85 16 72 </v>
      </c>
      <c r="K1795" t="str">
        <f>"01 45 84 33 10"</f>
        <v>01 45 84 33 10</v>
      </c>
      <c r="L1795" s="1">
        <v>42334</v>
      </c>
      <c r="M1795" t="str">
        <f t="shared" si="311"/>
        <v>124</v>
      </c>
      <c r="N1795" t="str">
        <f t="shared" si="312"/>
        <v>Centre de Santé</v>
      </c>
      <c r="O1795" t="str">
        <f t="shared" si="309"/>
        <v>60</v>
      </c>
      <c r="P1795" t="str">
        <f t="shared" si="310"/>
        <v>Association Loi 1901 non Reconnue d'Utilité Publique</v>
      </c>
      <c r="Q1795" t="str">
        <f t="shared" si="305"/>
        <v>36</v>
      </c>
      <c r="R1795" t="str">
        <f t="shared" si="306"/>
        <v>Tarifs conventionnels assurance maladie</v>
      </c>
      <c r="U1795" t="str">
        <f>"750057887"</f>
        <v>750057887</v>
      </c>
    </row>
    <row r="1796" spans="1:21" x14ac:dyDescent="0.3">
      <c r="A1796" t="str">
        <f>"750057879"</f>
        <v>750057879</v>
      </c>
      <c r="B1796" t="str">
        <f>"814 389 052 00014"</f>
        <v>814 389 052 00014</v>
      </c>
      <c r="D1796" t="str">
        <f>"CDS ELLASANTE"</f>
        <v>CDS ELLASANTE</v>
      </c>
      <c r="F1796" t="str">
        <f>"29 RUE D ASTORG"</f>
        <v>29 RUE D ASTORG</v>
      </c>
      <c r="H1796" t="str">
        <f>"75008"</f>
        <v>75008</v>
      </c>
      <c r="I1796" t="str">
        <f>"PARIS"</f>
        <v>PARIS</v>
      </c>
      <c r="J1796" t="str">
        <f>"01 43 12 31 00 "</f>
        <v xml:space="preserve">01 43 12 31 00 </v>
      </c>
      <c r="L1796" s="1">
        <v>42328</v>
      </c>
      <c r="M1796" t="str">
        <f t="shared" si="311"/>
        <v>124</v>
      </c>
      <c r="N1796" t="str">
        <f t="shared" si="312"/>
        <v>Centre de Santé</v>
      </c>
      <c r="O1796" t="str">
        <f t="shared" si="309"/>
        <v>60</v>
      </c>
      <c r="P1796" t="str">
        <f t="shared" si="310"/>
        <v>Association Loi 1901 non Reconnue d'Utilité Publique</v>
      </c>
      <c r="Q1796" t="str">
        <f t="shared" si="305"/>
        <v>36</v>
      </c>
      <c r="R1796" t="str">
        <f t="shared" si="306"/>
        <v>Tarifs conventionnels assurance maladie</v>
      </c>
      <c r="U1796" t="str">
        <f>"750057861"</f>
        <v>750057861</v>
      </c>
    </row>
    <row r="1797" spans="1:21" x14ac:dyDescent="0.3">
      <c r="A1797" t="str">
        <f>"750057994"</f>
        <v>750057994</v>
      </c>
      <c r="D1797" t="str">
        <f>"CDS MEDICO DENTAIRE BARBES"</f>
        <v>CDS MEDICO DENTAIRE BARBES</v>
      </c>
      <c r="F1797" t="str">
        <f>"23 BOULEVARD BARBES"</f>
        <v>23 BOULEVARD BARBES</v>
      </c>
      <c r="H1797" t="str">
        <f>"75018"</f>
        <v>75018</v>
      </c>
      <c r="I1797" t="str">
        <f>"PARIS"</f>
        <v>PARIS</v>
      </c>
      <c r="J1797" t="str">
        <f>"01 42 55 42 55 "</f>
        <v xml:space="preserve">01 42 55 42 55 </v>
      </c>
      <c r="L1797" s="1">
        <v>42318</v>
      </c>
      <c r="M1797" t="str">
        <f t="shared" si="311"/>
        <v>124</v>
      </c>
      <c r="N1797" t="str">
        <f t="shared" si="312"/>
        <v>Centre de Santé</v>
      </c>
      <c r="O1797" t="str">
        <f t="shared" si="309"/>
        <v>60</v>
      </c>
      <c r="P1797" t="str">
        <f t="shared" si="310"/>
        <v>Association Loi 1901 non Reconnue d'Utilité Publique</v>
      </c>
      <c r="Q1797" t="str">
        <f t="shared" si="305"/>
        <v>36</v>
      </c>
      <c r="R1797" t="str">
        <f t="shared" si="306"/>
        <v>Tarifs conventionnels assurance maladie</v>
      </c>
      <c r="U1797" t="str">
        <f>"750057986"</f>
        <v>750057986</v>
      </c>
    </row>
    <row r="1798" spans="1:21" x14ac:dyDescent="0.3">
      <c r="A1798" t="str">
        <f>"750057796"</f>
        <v>750057796</v>
      </c>
      <c r="D1798" t="str">
        <f>"CDS FALGUIERE"</f>
        <v>CDS FALGUIERE</v>
      </c>
      <c r="F1798" t="str">
        <f>"9 PLACE FALGUIERE"</f>
        <v>9 PLACE FALGUIERE</v>
      </c>
      <c r="H1798" t="str">
        <f>"75015"</f>
        <v>75015</v>
      </c>
      <c r="I1798" t="str">
        <f>"PARIS"</f>
        <v>PARIS</v>
      </c>
      <c r="J1798" t="str">
        <f>"01 73 32 31 00 "</f>
        <v xml:space="preserve">01 73 32 31 00 </v>
      </c>
      <c r="L1798" s="1">
        <v>42312</v>
      </c>
      <c r="M1798" t="str">
        <f t="shared" si="311"/>
        <v>124</v>
      </c>
      <c r="N1798" t="str">
        <f t="shared" si="312"/>
        <v>Centre de Santé</v>
      </c>
      <c r="O1798" t="str">
        <f t="shared" si="309"/>
        <v>60</v>
      </c>
      <c r="P1798" t="str">
        <f t="shared" si="310"/>
        <v>Association Loi 1901 non Reconnue d'Utilité Publique</v>
      </c>
      <c r="Q1798" t="str">
        <f t="shared" si="305"/>
        <v>36</v>
      </c>
      <c r="R1798" t="str">
        <f t="shared" si="306"/>
        <v>Tarifs conventionnels assurance maladie</v>
      </c>
      <c r="U1798" t="str">
        <f>"750057788"</f>
        <v>750057788</v>
      </c>
    </row>
    <row r="1799" spans="1:21" x14ac:dyDescent="0.3">
      <c r="A1799" t="str">
        <f>"920029667"</f>
        <v>920029667</v>
      </c>
      <c r="B1799" t="str">
        <f>"813 964 780 00015"</f>
        <v>813 964 780 00015</v>
      </c>
      <c r="D1799" t="str">
        <f>"CDS MEDICO DENTAIRE NANTERRE CSMDN"</f>
        <v>CDS MEDICO DENTAIRE NANTERRE CSMDN</v>
      </c>
      <c r="F1799" t="str">
        <f>"1 PLACE FOCH"</f>
        <v>1 PLACE FOCH</v>
      </c>
      <c r="H1799" t="str">
        <f>"92000"</f>
        <v>92000</v>
      </c>
      <c r="I1799" t="str">
        <f>"NANTERRE"</f>
        <v>NANTERRE</v>
      </c>
      <c r="J1799" t="str">
        <f>"01 47 25 55 55 "</f>
        <v xml:space="preserve">01 47 25 55 55 </v>
      </c>
      <c r="K1799" t="str">
        <f>"01 47 25 55 56"</f>
        <v>01 47 25 55 56</v>
      </c>
      <c r="L1799" s="1">
        <v>42312</v>
      </c>
      <c r="M1799" t="str">
        <f t="shared" si="311"/>
        <v>124</v>
      </c>
      <c r="N1799" t="str">
        <f t="shared" si="312"/>
        <v>Centre de Santé</v>
      </c>
      <c r="O1799" t="str">
        <f t="shared" si="309"/>
        <v>60</v>
      </c>
      <c r="P1799" t="str">
        <f t="shared" si="310"/>
        <v>Association Loi 1901 non Reconnue d'Utilité Publique</v>
      </c>
      <c r="Q1799" t="str">
        <f t="shared" si="305"/>
        <v>36</v>
      </c>
      <c r="R1799" t="str">
        <f t="shared" si="306"/>
        <v>Tarifs conventionnels assurance maladie</v>
      </c>
      <c r="U1799" t="str">
        <f>"920029659"</f>
        <v>920029659</v>
      </c>
    </row>
    <row r="1800" spans="1:21" x14ac:dyDescent="0.3">
      <c r="A1800" t="str">
        <f>"350051116"</f>
        <v>350051116</v>
      </c>
      <c r="B1800" t="str">
        <f>"794 105 650 00012"</f>
        <v>794 105 650 00012</v>
      </c>
      <c r="D1800" t="str">
        <f>"CDS DENTIFREE"</f>
        <v>CDS DENTIFREE</v>
      </c>
      <c r="E1800" t="str">
        <f>"IMMEUBLE LE KAIDO"</f>
        <v>IMMEUBLE LE KAIDO</v>
      </c>
      <c r="F1800" t="str">
        <f>"1 RUE J. MAILLARD DE LA GOURNERIE"</f>
        <v>1 RUE J. MAILLARD DE LA GOURNERIE</v>
      </c>
      <c r="G1800" t="str">
        <f>"ZAC ATALANTE CHAMPEAUX"</f>
        <v>ZAC ATALANTE CHAMPEAUX</v>
      </c>
      <c r="H1800" t="str">
        <f>"35000"</f>
        <v>35000</v>
      </c>
      <c r="I1800" t="str">
        <f>"RENNES"</f>
        <v>RENNES</v>
      </c>
      <c r="J1800" t="str">
        <f>"02 30 96 41 13 "</f>
        <v xml:space="preserve">02 30 96 41 13 </v>
      </c>
      <c r="L1800" s="1">
        <v>42311</v>
      </c>
      <c r="M1800" t="str">
        <f t="shared" si="311"/>
        <v>124</v>
      </c>
      <c r="N1800" t="str">
        <f t="shared" si="312"/>
        <v>Centre de Santé</v>
      </c>
      <c r="O1800" t="str">
        <f t="shared" si="309"/>
        <v>60</v>
      </c>
      <c r="P1800" t="str">
        <f t="shared" si="310"/>
        <v>Association Loi 1901 non Reconnue d'Utilité Publique</v>
      </c>
      <c r="Q1800" t="str">
        <f t="shared" si="305"/>
        <v>36</v>
      </c>
      <c r="R1800" t="str">
        <f t="shared" si="306"/>
        <v>Tarifs conventionnels assurance maladie</v>
      </c>
      <c r="U1800" t="str">
        <f>"780022661"</f>
        <v>780022661</v>
      </c>
    </row>
    <row r="1801" spans="1:21" x14ac:dyDescent="0.3">
      <c r="A1801" t="str">
        <f>"400013942"</f>
        <v>400013942</v>
      </c>
      <c r="B1801" t="str">
        <f>"390 749 547 00159"</f>
        <v>390 749 547 00159</v>
      </c>
      <c r="D1801" t="str">
        <f>"CENTRE DE SANTE POLYVALENT MUTUALISTE"</f>
        <v>CENTRE DE SANTE POLYVALENT MUTUALISTE</v>
      </c>
      <c r="F1801" t="str">
        <f>"14 RUE DU IV SEPTEMBRE"</f>
        <v>14 RUE DU IV SEPTEMBRE</v>
      </c>
      <c r="H1801" t="str">
        <f>"40000"</f>
        <v>40000</v>
      </c>
      <c r="I1801" t="str">
        <f>"MONT DE MARSAN"</f>
        <v>MONT DE MARSAN</v>
      </c>
      <c r="J1801" t="str">
        <f>"05 58 85 88 88 "</f>
        <v xml:space="preserve">05 58 85 88 88 </v>
      </c>
      <c r="L1801" s="1">
        <v>42310</v>
      </c>
      <c r="M1801" t="str">
        <f t="shared" si="311"/>
        <v>124</v>
      </c>
      <c r="N1801" t="str">
        <f t="shared" si="312"/>
        <v>Centre de Santé</v>
      </c>
      <c r="O1801" t="str">
        <f>"47"</f>
        <v>47</v>
      </c>
      <c r="P1801" t="str">
        <f>"Société Mutualiste"</f>
        <v>Société Mutualiste</v>
      </c>
      <c r="Q1801" t="str">
        <f t="shared" si="305"/>
        <v>36</v>
      </c>
      <c r="R1801" t="str">
        <f t="shared" si="306"/>
        <v>Tarifs conventionnels assurance maladie</v>
      </c>
      <c r="U1801" t="str">
        <f>"400011300"</f>
        <v>400011300</v>
      </c>
    </row>
    <row r="1802" spans="1:21" x14ac:dyDescent="0.3">
      <c r="A1802" t="str">
        <f>"720020445"</f>
        <v>720020445</v>
      </c>
      <c r="B1802" t="str">
        <f>"217 202 761 00011"</f>
        <v>217 202 761 00011</v>
      </c>
      <c r="D1802" t="str">
        <f>"CENTRE MUNICIPAL ST COSME EN VAIRAIS"</f>
        <v>CENTRE MUNICIPAL ST COSME EN VAIRAIS</v>
      </c>
      <c r="F1802" t="str">
        <f>"43 RUE NATIONALE"</f>
        <v>43 RUE NATIONALE</v>
      </c>
      <c r="H1802" t="str">
        <f>"72110"</f>
        <v>72110</v>
      </c>
      <c r="I1802" t="str">
        <f>"ST COSME EN VAIRAIS"</f>
        <v>ST COSME EN VAIRAIS</v>
      </c>
      <c r="J1802" t="str">
        <f>"02 43 33 91 08 "</f>
        <v xml:space="preserve">02 43 33 91 08 </v>
      </c>
      <c r="L1802" s="1">
        <v>42310</v>
      </c>
      <c r="M1802" t="str">
        <f t="shared" si="311"/>
        <v>124</v>
      </c>
      <c r="N1802" t="str">
        <f t="shared" si="312"/>
        <v>Centre de Santé</v>
      </c>
      <c r="O1802" t="str">
        <f>"03"</f>
        <v>03</v>
      </c>
      <c r="P1802" t="str">
        <f>"Commune"</f>
        <v>Commune</v>
      </c>
      <c r="Q1802" t="str">
        <f t="shared" si="305"/>
        <v>36</v>
      </c>
      <c r="R1802" t="str">
        <f t="shared" si="306"/>
        <v>Tarifs conventionnels assurance maladie</v>
      </c>
      <c r="U1802" t="str">
        <f>"720020437"</f>
        <v>720020437</v>
      </c>
    </row>
    <row r="1803" spans="1:21" x14ac:dyDescent="0.3">
      <c r="A1803" t="str">
        <f>"860014174"</f>
        <v>860014174</v>
      </c>
      <c r="B1803" t="str">
        <f>"811 831 270 00012"</f>
        <v>811 831 270 00012</v>
      </c>
      <c r="D1803" t="str">
        <f>"CENTRE DE SANTE DES TROIS CITES"</f>
        <v>CENTRE DE SANTE DES TROIS CITES</v>
      </c>
      <c r="F1803" t="str">
        <f>"11 RUE RENE AMAND"</f>
        <v>11 RUE RENE AMAND</v>
      </c>
      <c r="H1803" t="str">
        <f>"86000"</f>
        <v>86000</v>
      </c>
      <c r="I1803" t="str">
        <f>"POITIERS"</f>
        <v>POITIERS</v>
      </c>
      <c r="J1803" t="str">
        <f>"05 86 16 03 06 "</f>
        <v xml:space="preserve">05 86 16 03 06 </v>
      </c>
      <c r="L1803" s="1">
        <v>42310</v>
      </c>
      <c r="M1803" t="str">
        <f t="shared" si="311"/>
        <v>124</v>
      </c>
      <c r="N1803" t="str">
        <f t="shared" si="312"/>
        <v>Centre de Santé</v>
      </c>
      <c r="O1803" t="str">
        <f t="shared" ref="O1803:O1813" si="313">"60"</f>
        <v>60</v>
      </c>
      <c r="P1803" t="str">
        <f t="shared" ref="P1803:P1813" si="314">"Association Loi 1901 non Reconnue d'Utilité Publique"</f>
        <v>Association Loi 1901 non Reconnue d'Utilité Publique</v>
      </c>
      <c r="Q1803" t="str">
        <f t="shared" si="305"/>
        <v>36</v>
      </c>
      <c r="R1803" t="str">
        <f t="shared" si="306"/>
        <v>Tarifs conventionnels assurance maladie</v>
      </c>
      <c r="U1803" t="str">
        <f>"860014166"</f>
        <v>860014166</v>
      </c>
    </row>
    <row r="1804" spans="1:21" x14ac:dyDescent="0.3">
      <c r="A1804" t="str">
        <f>"910021823"</f>
        <v>910021823</v>
      </c>
      <c r="D1804" t="str">
        <f>"CDS OUEST ESSONNE"</f>
        <v>CDS OUEST ESSONNE</v>
      </c>
      <c r="F1804" t="str">
        <f>"1 AVENUE DES CAUSSES"</f>
        <v>1 AVENUE DES CAUSSES</v>
      </c>
      <c r="H1804" t="str">
        <f>"91940"</f>
        <v>91940</v>
      </c>
      <c r="I1804" t="str">
        <f>"LES ULIS"</f>
        <v>LES ULIS</v>
      </c>
      <c r="L1804" s="1">
        <v>42307</v>
      </c>
      <c r="M1804" t="str">
        <f t="shared" si="311"/>
        <v>124</v>
      </c>
      <c r="N1804" t="str">
        <f t="shared" si="312"/>
        <v>Centre de Santé</v>
      </c>
      <c r="O1804" t="str">
        <f t="shared" si="313"/>
        <v>60</v>
      </c>
      <c r="P1804" t="str">
        <f t="shared" si="314"/>
        <v>Association Loi 1901 non Reconnue d'Utilité Publique</v>
      </c>
      <c r="Q1804" t="str">
        <f t="shared" si="305"/>
        <v>36</v>
      </c>
      <c r="R1804" t="str">
        <f t="shared" si="306"/>
        <v>Tarifs conventionnels assurance maladie</v>
      </c>
      <c r="U1804" t="str">
        <f>"910021815"</f>
        <v>910021815</v>
      </c>
    </row>
    <row r="1805" spans="1:21" x14ac:dyDescent="0.3">
      <c r="A1805" t="str">
        <f>"930026273"</f>
        <v>930026273</v>
      </c>
      <c r="B1805" t="str">
        <f>"811 756 618 00021"</f>
        <v>811 756 618 00021</v>
      </c>
      <c r="D1805" t="str">
        <f>"CDS DE LA PLAINE SAINT DENIS"</f>
        <v>CDS DE LA PLAINE SAINT DENIS</v>
      </c>
      <c r="F1805" t="str">
        <f>"29 RUE PROUDHON"</f>
        <v>29 RUE PROUDHON</v>
      </c>
      <c r="H1805" t="str">
        <f>"93200"</f>
        <v>93200</v>
      </c>
      <c r="I1805" t="str">
        <f>"ST DENIS"</f>
        <v>ST DENIS</v>
      </c>
      <c r="J1805" t="str">
        <f>"01 48 22 33 33 "</f>
        <v xml:space="preserve">01 48 22 33 33 </v>
      </c>
      <c r="L1805" s="1">
        <v>42307</v>
      </c>
      <c r="M1805" t="str">
        <f t="shared" si="311"/>
        <v>124</v>
      </c>
      <c r="N1805" t="str">
        <f t="shared" si="312"/>
        <v>Centre de Santé</v>
      </c>
      <c r="O1805" t="str">
        <f t="shared" si="313"/>
        <v>60</v>
      </c>
      <c r="P1805" t="str">
        <f t="shared" si="314"/>
        <v>Association Loi 1901 non Reconnue d'Utilité Publique</v>
      </c>
      <c r="Q1805" t="str">
        <f t="shared" si="305"/>
        <v>36</v>
      </c>
      <c r="R1805" t="str">
        <f t="shared" si="306"/>
        <v>Tarifs conventionnels assurance maladie</v>
      </c>
      <c r="U1805" t="str">
        <f>"930027297"</f>
        <v>930027297</v>
      </c>
    </row>
    <row r="1806" spans="1:21" x14ac:dyDescent="0.3">
      <c r="A1806" t="str">
        <f>"750057762"</f>
        <v>750057762</v>
      </c>
      <c r="B1806" t="str">
        <f>"812 775 880 00014"</f>
        <v>812 775 880 00014</v>
      </c>
      <c r="D1806" t="str">
        <f>"CDS DENTAIRE DE LA PORTE MAILLOT"</f>
        <v>CDS DENTAIRE DE LA PORTE MAILLOT</v>
      </c>
      <c r="F1806" t="str">
        <f>"68 RUE BAYEN"</f>
        <v>68 RUE BAYEN</v>
      </c>
      <c r="H1806" t="str">
        <f>"75017"</f>
        <v>75017</v>
      </c>
      <c r="I1806" t="str">
        <f>"PARIS"</f>
        <v>PARIS</v>
      </c>
      <c r="J1806" t="str">
        <f>"01 45 72 66 93 "</f>
        <v xml:space="preserve">01 45 72 66 93 </v>
      </c>
      <c r="L1806" s="1">
        <v>42304</v>
      </c>
      <c r="M1806" t="str">
        <f t="shared" si="311"/>
        <v>124</v>
      </c>
      <c r="N1806" t="str">
        <f t="shared" si="312"/>
        <v>Centre de Santé</v>
      </c>
      <c r="O1806" t="str">
        <f t="shared" si="313"/>
        <v>60</v>
      </c>
      <c r="P1806" t="str">
        <f t="shared" si="314"/>
        <v>Association Loi 1901 non Reconnue d'Utilité Publique</v>
      </c>
      <c r="Q1806" t="str">
        <f t="shared" si="305"/>
        <v>36</v>
      </c>
      <c r="R1806" t="str">
        <f t="shared" si="306"/>
        <v>Tarifs conventionnels assurance maladie</v>
      </c>
      <c r="U1806" t="str">
        <f>"750057754"</f>
        <v>750057754</v>
      </c>
    </row>
    <row r="1807" spans="1:21" x14ac:dyDescent="0.3">
      <c r="A1807" t="str">
        <f>"930026265"</f>
        <v>930026265</v>
      </c>
      <c r="B1807" t="str">
        <f>"812 939 171 00011"</f>
        <v>812 939 171 00011</v>
      </c>
      <c r="D1807" t="str">
        <f>"CDS MEDICAL ET DENTAIRE"</f>
        <v>CDS MEDICAL ET DENTAIRE</v>
      </c>
      <c r="F1807" t="str">
        <f>"6 PLACE DU GENERAL LECLERC"</f>
        <v>6 PLACE DU GENERAL LECLERC</v>
      </c>
      <c r="H1807" t="str">
        <f>"93380"</f>
        <v>93380</v>
      </c>
      <c r="I1807" t="str">
        <f>"PIERREFITTE SUR SEINE"</f>
        <v>PIERREFITTE SUR SEINE</v>
      </c>
      <c r="L1807" s="1">
        <v>42297</v>
      </c>
      <c r="M1807" t="str">
        <f t="shared" si="311"/>
        <v>124</v>
      </c>
      <c r="N1807" t="str">
        <f t="shared" si="312"/>
        <v>Centre de Santé</v>
      </c>
      <c r="O1807" t="str">
        <f t="shared" si="313"/>
        <v>60</v>
      </c>
      <c r="P1807" t="str">
        <f t="shared" si="314"/>
        <v>Association Loi 1901 non Reconnue d'Utilité Publique</v>
      </c>
      <c r="Q1807" t="str">
        <f t="shared" si="305"/>
        <v>36</v>
      </c>
      <c r="R1807" t="str">
        <f t="shared" si="306"/>
        <v>Tarifs conventionnels assurance maladie</v>
      </c>
      <c r="U1807" t="str">
        <f>"930026257"</f>
        <v>930026257</v>
      </c>
    </row>
    <row r="1808" spans="1:21" x14ac:dyDescent="0.3">
      <c r="A1808" t="str">
        <f>"770020782"</f>
        <v>770020782</v>
      </c>
      <c r="B1808" t="str">
        <f>"810 799 676 00012"</f>
        <v>810 799 676 00012</v>
      </c>
      <c r="D1808" t="str">
        <f>"CDS DENTAIRE CHELLES GARE"</f>
        <v>CDS DENTAIRE CHELLES GARE</v>
      </c>
      <c r="F1808" t="str">
        <f>"48 BOULEVARD CHILPERIC"</f>
        <v>48 BOULEVARD CHILPERIC</v>
      </c>
      <c r="H1808" t="str">
        <f>"77500"</f>
        <v>77500</v>
      </c>
      <c r="I1808" t="str">
        <f>"CHELLES"</f>
        <v>CHELLES</v>
      </c>
      <c r="J1808" t="str">
        <f>"01 64 15 60 45 "</f>
        <v xml:space="preserve">01 64 15 60 45 </v>
      </c>
      <c r="K1808" t="str">
        <f>"01 64 15 60 47"</f>
        <v>01 64 15 60 47</v>
      </c>
      <c r="L1808" s="1">
        <v>42296</v>
      </c>
      <c r="M1808" t="str">
        <f t="shared" si="311"/>
        <v>124</v>
      </c>
      <c r="N1808" t="str">
        <f t="shared" si="312"/>
        <v>Centre de Santé</v>
      </c>
      <c r="O1808" t="str">
        <f t="shared" si="313"/>
        <v>60</v>
      </c>
      <c r="P1808" t="str">
        <f t="shared" si="314"/>
        <v>Association Loi 1901 non Reconnue d'Utilité Publique</v>
      </c>
      <c r="Q1808" t="str">
        <f t="shared" si="305"/>
        <v>36</v>
      </c>
      <c r="R1808" t="str">
        <f t="shared" si="306"/>
        <v>Tarifs conventionnels assurance maladie</v>
      </c>
      <c r="U1808" t="str">
        <f>"770020774"</f>
        <v>770020774</v>
      </c>
    </row>
    <row r="1809" spans="1:21" x14ac:dyDescent="0.3">
      <c r="A1809" t="str">
        <f>"920029576"</f>
        <v>920029576</v>
      </c>
      <c r="D1809" t="str">
        <f>"CDS MEDICO DENTAIRE DE MONTROUGE"</f>
        <v>CDS MEDICO DENTAIRE DE MONTROUGE</v>
      </c>
      <c r="E1809" t="str">
        <f>"127-131"</f>
        <v>127-131</v>
      </c>
      <c r="F1809" t="str">
        <f>"127 AVENUE ARISTIDE BRIAND"</f>
        <v>127 AVENUE ARISTIDE BRIAND</v>
      </c>
      <c r="H1809" t="str">
        <f>"92120"</f>
        <v>92120</v>
      </c>
      <c r="I1809" t="str">
        <f>"MONTROUGE"</f>
        <v>MONTROUGE</v>
      </c>
      <c r="J1809" t="str">
        <f>"01 58 07 05 05 "</f>
        <v xml:space="preserve">01 58 07 05 05 </v>
      </c>
      <c r="L1809" s="1">
        <v>42291</v>
      </c>
      <c r="M1809" t="str">
        <f t="shared" si="311"/>
        <v>124</v>
      </c>
      <c r="N1809" t="str">
        <f t="shared" si="312"/>
        <v>Centre de Santé</v>
      </c>
      <c r="O1809" t="str">
        <f t="shared" si="313"/>
        <v>60</v>
      </c>
      <c r="P1809" t="str">
        <f t="shared" si="314"/>
        <v>Association Loi 1901 non Reconnue d'Utilité Publique</v>
      </c>
      <c r="Q1809" t="str">
        <f t="shared" si="305"/>
        <v>36</v>
      </c>
      <c r="R1809" t="str">
        <f t="shared" si="306"/>
        <v>Tarifs conventionnels assurance maladie</v>
      </c>
      <c r="U1809" t="str">
        <f>"920029568"</f>
        <v>920029568</v>
      </c>
    </row>
    <row r="1810" spans="1:21" x14ac:dyDescent="0.3">
      <c r="A1810" t="str">
        <f>"930026224"</f>
        <v>930026224</v>
      </c>
      <c r="D1810" t="str">
        <f>"CDS MEDICO DENTAIRE DE FRANCE"</f>
        <v>CDS MEDICO DENTAIRE DE FRANCE</v>
      </c>
      <c r="E1810" t="str">
        <f>"206-210"</f>
        <v>206-210</v>
      </c>
      <c r="F1810" t="str">
        <f>"206 AVENUE DIVISION LECLERC"</f>
        <v>206 AVENUE DIVISION LECLERC</v>
      </c>
      <c r="H1810" t="str">
        <f>"93430"</f>
        <v>93430</v>
      </c>
      <c r="I1810" t="str">
        <f>"VILLETANEUSE"</f>
        <v>VILLETANEUSE</v>
      </c>
      <c r="L1810" s="1">
        <v>42291</v>
      </c>
      <c r="M1810" t="str">
        <f t="shared" si="311"/>
        <v>124</v>
      </c>
      <c r="N1810" t="str">
        <f t="shared" si="312"/>
        <v>Centre de Santé</v>
      </c>
      <c r="O1810" t="str">
        <f t="shared" si="313"/>
        <v>60</v>
      </c>
      <c r="P1810" t="str">
        <f t="shared" si="314"/>
        <v>Association Loi 1901 non Reconnue d'Utilité Publique</v>
      </c>
      <c r="Q1810" t="str">
        <f t="shared" si="305"/>
        <v>36</v>
      </c>
      <c r="R1810" t="str">
        <f t="shared" si="306"/>
        <v>Tarifs conventionnels assurance maladie</v>
      </c>
      <c r="U1810" t="str">
        <f>"930026216"</f>
        <v>930026216</v>
      </c>
    </row>
    <row r="1811" spans="1:21" x14ac:dyDescent="0.3">
      <c r="A1811" t="str">
        <f>"930026240"</f>
        <v>930026240</v>
      </c>
      <c r="D1811" t="str">
        <f>"CDS MEDICO DENTAIRE BEAU SEVRAN"</f>
        <v>CDS MEDICO DENTAIRE BEAU SEVRAN</v>
      </c>
      <c r="F1811" t="str">
        <f>"ROUTE DES PETITS PONTS"</f>
        <v>ROUTE DES PETITS PONTS</v>
      </c>
      <c r="H1811" t="str">
        <f>"93270"</f>
        <v>93270</v>
      </c>
      <c r="I1811" t="str">
        <f>"SEVRAN"</f>
        <v>SEVRAN</v>
      </c>
      <c r="L1811" s="1">
        <v>42291</v>
      </c>
      <c r="M1811" t="str">
        <f t="shared" si="311"/>
        <v>124</v>
      </c>
      <c r="N1811" t="str">
        <f t="shared" si="312"/>
        <v>Centre de Santé</v>
      </c>
      <c r="O1811" t="str">
        <f t="shared" si="313"/>
        <v>60</v>
      </c>
      <c r="P1811" t="str">
        <f t="shared" si="314"/>
        <v>Association Loi 1901 non Reconnue d'Utilité Publique</v>
      </c>
      <c r="Q1811" t="str">
        <f t="shared" si="305"/>
        <v>36</v>
      </c>
      <c r="R1811" t="str">
        <f t="shared" si="306"/>
        <v>Tarifs conventionnels assurance maladie</v>
      </c>
      <c r="U1811" t="str">
        <f>"930026232"</f>
        <v>930026232</v>
      </c>
    </row>
    <row r="1812" spans="1:21" x14ac:dyDescent="0.3">
      <c r="A1812" t="str">
        <f>"940022627"</f>
        <v>940022627</v>
      </c>
      <c r="B1812" t="str">
        <f>"812 619 492 00018"</f>
        <v>812 619 492 00018</v>
      </c>
      <c r="D1812" t="str">
        <f>"CDS MEDICAL ET DENTAIRE D IVRY CMDQI"</f>
        <v>CDS MEDICAL ET DENTAIRE D IVRY CMDQI</v>
      </c>
      <c r="E1812" t="str">
        <f>"CENTRE COMMERCIAL QUAI D IVRY"</f>
        <v>CENTRE COMMERCIAL QUAI D IVRY</v>
      </c>
      <c r="F1812" t="str">
        <f>"30 BOULEVARD PAUL VAILLANT COUTURIER"</f>
        <v>30 BOULEVARD PAUL VAILLANT COUTURIER</v>
      </c>
      <c r="H1812" t="str">
        <f>"94200"</f>
        <v>94200</v>
      </c>
      <c r="I1812" t="str">
        <f>"IVRY SUR SEINE"</f>
        <v>IVRY SUR SEINE</v>
      </c>
      <c r="J1812" t="str">
        <f>"01 45 21 65 50 "</f>
        <v xml:space="preserve">01 45 21 65 50 </v>
      </c>
      <c r="K1812" t="str">
        <f>"01 46 70 72 50"</f>
        <v>01 46 70 72 50</v>
      </c>
      <c r="L1812" s="1">
        <v>42291</v>
      </c>
      <c r="M1812" t="str">
        <f t="shared" si="311"/>
        <v>124</v>
      </c>
      <c r="N1812" t="str">
        <f t="shared" si="312"/>
        <v>Centre de Santé</v>
      </c>
      <c r="O1812" t="str">
        <f t="shared" si="313"/>
        <v>60</v>
      </c>
      <c r="P1812" t="str">
        <f t="shared" si="314"/>
        <v>Association Loi 1901 non Reconnue d'Utilité Publique</v>
      </c>
      <c r="Q1812" t="str">
        <f t="shared" si="305"/>
        <v>36</v>
      </c>
      <c r="R1812" t="str">
        <f t="shared" si="306"/>
        <v>Tarifs conventionnels assurance maladie</v>
      </c>
      <c r="U1812" t="str">
        <f>"940022619"</f>
        <v>940022619</v>
      </c>
    </row>
    <row r="1813" spans="1:21" x14ac:dyDescent="0.3">
      <c r="A1813" t="str">
        <f>"750057663"</f>
        <v>750057663</v>
      </c>
      <c r="B1813" t="str">
        <f>"821 254 828 00014"</f>
        <v>821 254 828 00014</v>
      </c>
      <c r="D1813" t="str">
        <f>"CDS MEDICO DENTAIRE PLACE DES FETES"</f>
        <v>CDS MEDICO DENTAIRE PLACE DES FETES</v>
      </c>
      <c r="F1813" t="str">
        <f>"33 RUE COMPANS"</f>
        <v>33 RUE COMPANS</v>
      </c>
      <c r="H1813" t="str">
        <f>"75019"</f>
        <v>75019</v>
      </c>
      <c r="I1813" t="str">
        <f>"PARIS"</f>
        <v>PARIS</v>
      </c>
      <c r="L1813" s="1">
        <v>42286</v>
      </c>
      <c r="M1813" t="str">
        <f t="shared" si="311"/>
        <v>124</v>
      </c>
      <c r="N1813" t="str">
        <f t="shared" si="312"/>
        <v>Centre de Santé</v>
      </c>
      <c r="O1813" t="str">
        <f t="shared" si="313"/>
        <v>60</v>
      </c>
      <c r="P1813" t="str">
        <f t="shared" si="314"/>
        <v>Association Loi 1901 non Reconnue d'Utilité Publique</v>
      </c>
      <c r="Q1813" t="str">
        <f t="shared" si="305"/>
        <v>36</v>
      </c>
      <c r="R1813" t="str">
        <f t="shared" si="306"/>
        <v>Tarifs conventionnels assurance maladie</v>
      </c>
      <c r="U1813" t="str">
        <f>"750058505"</f>
        <v>750058505</v>
      </c>
    </row>
    <row r="1814" spans="1:21" x14ac:dyDescent="0.3">
      <c r="A1814" t="str">
        <f>"690041215"</f>
        <v>690041215</v>
      </c>
      <c r="B1814" t="str">
        <f>"812 502 425 00018"</f>
        <v>812 502 425 00018</v>
      </c>
      <c r="D1814" t="str">
        <f>"CENTRE DE SANTE LABELIA LYON 4EME"</f>
        <v>CENTRE DE SANTE LABELIA LYON 4EME</v>
      </c>
      <c r="F1814" t="str">
        <f>"84 QUAI JOSEPH GILLET"</f>
        <v>84 QUAI JOSEPH GILLET</v>
      </c>
      <c r="H1814" t="str">
        <f>"69004"</f>
        <v>69004</v>
      </c>
      <c r="I1814" t="str">
        <f>"LYON"</f>
        <v>LYON</v>
      </c>
      <c r="J1814" t="str">
        <f>"06 87 72 12 67 "</f>
        <v xml:space="preserve">06 87 72 12 67 </v>
      </c>
      <c r="L1814" s="1">
        <v>42282</v>
      </c>
      <c r="M1814" t="str">
        <f t="shared" si="311"/>
        <v>124</v>
      </c>
      <c r="N1814" t="str">
        <f t="shared" si="312"/>
        <v>Centre de Santé</v>
      </c>
      <c r="O1814" t="str">
        <f>"61"</f>
        <v>61</v>
      </c>
      <c r="P1814" t="str">
        <f>"Association Loi 1901 Reconnue d'Utilité Publique"</f>
        <v>Association Loi 1901 Reconnue d'Utilité Publique</v>
      </c>
      <c r="Q1814" t="str">
        <f t="shared" si="305"/>
        <v>36</v>
      </c>
      <c r="R1814" t="str">
        <f t="shared" si="306"/>
        <v>Tarifs conventionnels assurance maladie</v>
      </c>
      <c r="U1814" t="str">
        <f>"690041207"</f>
        <v>690041207</v>
      </c>
    </row>
    <row r="1815" spans="1:21" x14ac:dyDescent="0.3">
      <c r="A1815" t="str">
        <f>"330058363"</f>
        <v>330058363</v>
      </c>
      <c r="B1815" t="str">
        <f>"775 584 972 00647"</f>
        <v>775 584 972 00647</v>
      </c>
      <c r="D1815" t="str">
        <f>"CENTRE DE SANTE DENTAIRE MUTUALISTE"</f>
        <v>CENTRE DE SANTE DENTAIRE MUTUALISTE</v>
      </c>
      <c r="F1815" t="str">
        <f>"50 AVENUE DU DOCTEUR SCHWEITZER"</f>
        <v>50 AVENUE DU DOCTEUR SCHWEITZER</v>
      </c>
      <c r="H1815" t="str">
        <f>"33600"</f>
        <v>33600</v>
      </c>
      <c r="I1815" t="str">
        <f>"PESSAC"</f>
        <v>PESSAC</v>
      </c>
      <c r="J1815" t="str">
        <f>"05 56 46 56 87 "</f>
        <v xml:space="preserve">05 56 46 56 87 </v>
      </c>
      <c r="L1815" s="1">
        <v>42278</v>
      </c>
      <c r="M1815" t="str">
        <f t="shared" si="311"/>
        <v>124</v>
      </c>
      <c r="N1815" t="str">
        <f t="shared" si="312"/>
        <v>Centre de Santé</v>
      </c>
      <c r="O1815" t="str">
        <f>"47"</f>
        <v>47</v>
      </c>
      <c r="P1815" t="str">
        <f>"Société Mutualiste"</f>
        <v>Société Mutualiste</v>
      </c>
      <c r="Q1815" t="str">
        <f t="shared" si="305"/>
        <v>36</v>
      </c>
      <c r="R1815" t="str">
        <f t="shared" si="306"/>
        <v>Tarifs conventionnels assurance maladie</v>
      </c>
      <c r="U1815" t="str">
        <f>"330796392"</f>
        <v>330796392</v>
      </c>
    </row>
    <row r="1816" spans="1:21" x14ac:dyDescent="0.3">
      <c r="A1816" t="str">
        <f>"010010767"</f>
        <v>010010767</v>
      </c>
      <c r="D1816" t="str">
        <f>"CENTRE DE SANTE MUTUELLE OYONNAXIENNE"</f>
        <v>CENTRE DE SANTE MUTUELLE OYONNAXIENNE</v>
      </c>
      <c r="F1816" t="str">
        <f>"60 RUE JULES MICHELET"</f>
        <v>60 RUE JULES MICHELET</v>
      </c>
      <c r="H1816" t="str">
        <f>"01100"</f>
        <v>01100</v>
      </c>
      <c r="I1816" t="str">
        <f>"OYONNAX"</f>
        <v>OYONNAX</v>
      </c>
      <c r="J1816" t="str">
        <f>"04 74 77 84 19 "</f>
        <v xml:space="preserve">04 74 77 84 19 </v>
      </c>
      <c r="L1816" s="1">
        <v>42277</v>
      </c>
      <c r="M1816" t="str">
        <f t="shared" si="311"/>
        <v>124</v>
      </c>
      <c r="N1816" t="str">
        <f t="shared" si="312"/>
        <v>Centre de Santé</v>
      </c>
      <c r="O1816" t="str">
        <f>"47"</f>
        <v>47</v>
      </c>
      <c r="P1816" t="str">
        <f>"Société Mutualiste"</f>
        <v>Société Mutualiste</v>
      </c>
      <c r="Q1816" t="str">
        <f t="shared" si="305"/>
        <v>36</v>
      </c>
      <c r="R1816" t="str">
        <f t="shared" si="306"/>
        <v>Tarifs conventionnels assurance maladie</v>
      </c>
      <c r="U1816" t="str">
        <f>"010790111"</f>
        <v>010790111</v>
      </c>
    </row>
    <row r="1817" spans="1:21" x14ac:dyDescent="0.3">
      <c r="A1817" t="str">
        <f>"920029535"</f>
        <v>920029535</v>
      </c>
      <c r="D1817" t="str">
        <f>"CDS APAS BTP DE BOULOGNE"</f>
        <v>CDS APAS BTP DE BOULOGNE</v>
      </c>
      <c r="E1817" t="str">
        <f>"38-40"</f>
        <v>38-40</v>
      </c>
      <c r="F1817" t="str">
        <f>"38 RUE DE BELLEVUE"</f>
        <v>38 RUE DE BELLEVUE</v>
      </c>
      <c r="H1817" t="str">
        <f>"92100"</f>
        <v>92100</v>
      </c>
      <c r="I1817" t="str">
        <f>"BOULOGNE BILLANCOURT"</f>
        <v>BOULOGNE BILLANCOURT</v>
      </c>
      <c r="J1817" t="str">
        <f>"01 53 33 22 22 "</f>
        <v xml:space="preserve">01 53 33 22 22 </v>
      </c>
      <c r="L1817" s="1">
        <v>42277</v>
      </c>
      <c r="M1817" t="str">
        <f t="shared" si="311"/>
        <v>124</v>
      </c>
      <c r="N1817" t="str">
        <f t="shared" si="312"/>
        <v>Centre de Santé</v>
      </c>
      <c r="O1817" t="str">
        <f>"60"</f>
        <v>60</v>
      </c>
      <c r="P1817" t="str">
        <f>"Association Loi 1901 non Reconnue d'Utilité Publique"</f>
        <v>Association Loi 1901 non Reconnue d'Utilité Publique</v>
      </c>
      <c r="Q1817" t="str">
        <f t="shared" si="305"/>
        <v>36</v>
      </c>
      <c r="R1817" t="str">
        <f t="shared" si="306"/>
        <v>Tarifs conventionnels assurance maladie</v>
      </c>
      <c r="U1817" t="str">
        <f>"750809956"</f>
        <v>750809956</v>
      </c>
    </row>
    <row r="1818" spans="1:21" x14ac:dyDescent="0.3">
      <c r="A1818" t="str">
        <f>"420014649"</f>
        <v>420014649</v>
      </c>
      <c r="B1818" t="str">
        <f>"775 602 436 00765"</f>
        <v>775 602 436 00765</v>
      </c>
      <c r="D1818" t="str">
        <f>"CENTRE DE SANTE MFL SSAM CHARLIEU"</f>
        <v>CENTRE DE SANTE MFL SSAM CHARLIEU</v>
      </c>
      <c r="F1818" t="str">
        <f>"4 RUE ANDRE FARINET"</f>
        <v>4 RUE ANDRE FARINET</v>
      </c>
      <c r="H1818" t="str">
        <f>"42190"</f>
        <v>42190</v>
      </c>
      <c r="I1818" t="str">
        <f>"CHARLIEU"</f>
        <v>CHARLIEU</v>
      </c>
      <c r="J1818" t="str">
        <f>"04 77 69 94 26 "</f>
        <v xml:space="preserve">04 77 69 94 26 </v>
      </c>
      <c r="L1818" s="1">
        <v>42261</v>
      </c>
      <c r="M1818" t="str">
        <f t="shared" si="311"/>
        <v>124</v>
      </c>
      <c r="N1818" t="str">
        <f t="shared" si="312"/>
        <v>Centre de Santé</v>
      </c>
      <c r="O1818" t="str">
        <f>"47"</f>
        <v>47</v>
      </c>
      <c r="P1818" t="str">
        <f>"Société Mutualiste"</f>
        <v>Société Mutualiste</v>
      </c>
      <c r="Q1818" t="str">
        <f t="shared" si="305"/>
        <v>36</v>
      </c>
      <c r="R1818" t="str">
        <f t="shared" si="306"/>
        <v>Tarifs conventionnels assurance maladie</v>
      </c>
      <c r="U1818" t="str">
        <f>"420787061"</f>
        <v>420787061</v>
      </c>
    </row>
    <row r="1819" spans="1:21" x14ac:dyDescent="0.3">
      <c r="A1819" t="str">
        <f>"560026825"</f>
        <v>560026825</v>
      </c>
      <c r="B1819" t="str">
        <f>"215 602 467 00114"</f>
        <v>215 602 467 00114</v>
      </c>
      <c r="D1819" t="str">
        <f>"CDS MÉDICAL DE LE SOURN"</f>
        <v>CDS MÉDICAL DE LE SOURN</v>
      </c>
      <c r="F1819" t="str">
        <f>"5 RUE DES OISEAUX"</f>
        <v>5 RUE DES OISEAUX</v>
      </c>
      <c r="H1819" t="str">
        <f>"56300"</f>
        <v>56300</v>
      </c>
      <c r="I1819" t="str">
        <f>"LE SOURN"</f>
        <v>LE SOURN</v>
      </c>
      <c r="J1819" t="str">
        <f>"02 97 25 20 62 "</f>
        <v xml:space="preserve">02 97 25 20 62 </v>
      </c>
      <c r="L1819" s="1">
        <v>42261</v>
      </c>
      <c r="M1819" t="str">
        <f t="shared" si="311"/>
        <v>124</v>
      </c>
      <c r="N1819" t="str">
        <f t="shared" si="312"/>
        <v>Centre de Santé</v>
      </c>
      <c r="O1819" t="str">
        <f>"03"</f>
        <v>03</v>
      </c>
      <c r="P1819" t="str">
        <f>"Commune"</f>
        <v>Commune</v>
      </c>
      <c r="Q1819" t="str">
        <f t="shared" si="305"/>
        <v>36</v>
      </c>
      <c r="R1819" t="str">
        <f t="shared" si="306"/>
        <v>Tarifs conventionnels assurance maladie</v>
      </c>
      <c r="U1819" t="str">
        <f>"560026817"</f>
        <v>560026817</v>
      </c>
    </row>
    <row r="1820" spans="1:21" x14ac:dyDescent="0.3">
      <c r="A1820" t="str">
        <f>"750057697"</f>
        <v>750057697</v>
      </c>
      <c r="B1820" t="str">
        <f>"802 235 127 00023"</f>
        <v>802 235 127 00023</v>
      </c>
      <c r="D1820" t="str">
        <f>"CDS RICHARD LENOIR CSRL"</f>
        <v>CDS RICHARD LENOIR CSRL</v>
      </c>
      <c r="F1820" t="str">
        <f>"48 RUE SAINT SEBASTIEN"</f>
        <v>48 RUE SAINT SEBASTIEN</v>
      </c>
      <c r="H1820" t="str">
        <f>"75011"</f>
        <v>75011</v>
      </c>
      <c r="I1820" t="str">
        <f>"PARIS"</f>
        <v>PARIS</v>
      </c>
      <c r="J1820" t="str">
        <f>"01 77 50 03 82 "</f>
        <v xml:space="preserve">01 77 50 03 82 </v>
      </c>
      <c r="K1820" t="str">
        <f>"01 77 50 03 83"</f>
        <v>01 77 50 03 83</v>
      </c>
      <c r="L1820" s="1">
        <v>42258</v>
      </c>
      <c r="M1820" t="str">
        <f t="shared" si="311"/>
        <v>124</v>
      </c>
      <c r="N1820" t="str">
        <f t="shared" si="312"/>
        <v>Centre de Santé</v>
      </c>
      <c r="O1820" t="str">
        <f>"60"</f>
        <v>60</v>
      </c>
      <c r="P1820" t="str">
        <f>"Association Loi 1901 non Reconnue d'Utilité Publique"</f>
        <v>Association Loi 1901 non Reconnue d'Utilité Publique</v>
      </c>
      <c r="Q1820" t="str">
        <f t="shared" si="305"/>
        <v>36</v>
      </c>
      <c r="R1820" t="str">
        <f t="shared" si="306"/>
        <v>Tarifs conventionnels assurance maladie</v>
      </c>
      <c r="U1820" t="str">
        <f>"750056392"</f>
        <v>750056392</v>
      </c>
    </row>
    <row r="1821" spans="1:21" x14ac:dyDescent="0.3">
      <c r="A1821" t="str">
        <f>"440052934"</f>
        <v>440052934</v>
      </c>
      <c r="B1821" t="str">
        <f>"794 105 650 00012"</f>
        <v>794 105 650 00012</v>
      </c>
      <c r="D1821" t="str">
        <f>"CENTRE DE SANTE DENTAIRE DENTIFREE"</f>
        <v>CENTRE DE SANTE DENTAIRE DENTIFREE</v>
      </c>
      <c r="F1821" t="str">
        <f>"19 AVENUE JACQUES CARTIER"</f>
        <v>19 AVENUE JACQUES CARTIER</v>
      </c>
      <c r="G1821" t="str">
        <f>"LA FREGATE"</f>
        <v>LA FREGATE</v>
      </c>
      <c r="H1821" t="str">
        <f>"44800"</f>
        <v>44800</v>
      </c>
      <c r="I1821" t="str">
        <f>"ST HERBLAIN"</f>
        <v>ST HERBLAIN</v>
      </c>
      <c r="J1821" t="str">
        <f>"02 40 46 73 49 "</f>
        <v xml:space="preserve">02 40 46 73 49 </v>
      </c>
      <c r="K1821" t="str">
        <f>"09 58 57 07 16"</f>
        <v>09 58 57 07 16</v>
      </c>
      <c r="L1821" s="1">
        <v>42248</v>
      </c>
      <c r="M1821" t="str">
        <f t="shared" si="311"/>
        <v>124</v>
      </c>
      <c r="N1821" t="str">
        <f t="shared" si="312"/>
        <v>Centre de Santé</v>
      </c>
      <c r="O1821" t="str">
        <f>"60"</f>
        <v>60</v>
      </c>
      <c r="P1821" t="str">
        <f>"Association Loi 1901 non Reconnue d'Utilité Publique"</f>
        <v>Association Loi 1901 non Reconnue d'Utilité Publique</v>
      </c>
      <c r="Q1821" t="str">
        <f t="shared" si="305"/>
        <v>36</v>
      </c>
      <c r="R1821" t="str">
        <f t="shared" si="306"/>
        <v>Tarifs conventionnels assurance maladie</v>
      </c>
      <c r="U1821" t="str">
        <f>"780022927"</f>
        <v>780022927</v>
      </c>
    </row>
    <row r="1822" spans="1:21" x14ac:dyDescent="0.3">
      <c r="A1822" t="str">
        <f>"380019711"</f>
        <v>380019711</v>
      </c>
      <c r="B1822" t="str">
        <f>"775 761 844 00783"</f>
        <v>775 761 844 00783</v>
      </c>
      <c r="D1822" t="str">
        <f>"CENTRE DE SANTE OXANCE GRENOBLE"</f>
        <v>CENTRE DE SANTE OXANCE GRENOBLE</v>
      </c>
      <c r="F1822" t="str">
        <f>"9 RUE DE CHAMROUSSE"</f>
        <v>9 RUE DE CHAMROUSSE</v>
      </c>
      <c r="H1822" t="str">
        <f>"38100"</f>
        <v>38100</v>
      </c>
      <c r="I1822" t="str">
        <f>"GRENOBLE"</f>
        <v>GRENOBLE</v>
      </c>
      <c r="J1822" t="str">
        <f>"04 76 43 03 17 "</f>
        <v xml:space="preserve">04 76 43 03 17 </v>
      </c>
      <c r="L1822" s="1">
        <v>42234</v>
      </c>
      <c r="M1822" t="str">
        <f t="shared" si="311"/>
        <v>124</v>
      </c>
      <c r="N1822" t="str">
        <f t="shared" si="312"/>
        <v>Centre de Santé</v>
      </c>
      <c r="O1822" t="str">
        <f>"47"</f>
        <v>47</v>
      </c>
      <c r="P1822" t="str">
        <f>"Société Mutualiste"</f>
        <v>Société Mutualiste</v>
      </c>
      <c r="Q1822" t="str">
        <f t="shared" si="305"/>
        <v>36</v>
      </c>
      <c r="R1822" t="str">
        <f t="shared" si="306"/>
        <v>Tarifs conventionnels assurance maladie</v>
      </c>
      <c r="U1822" t="str">
        <f>"690048111"</f>
        <v>690048111</v>
      </c>
    </row>
    <row r="1823" spans="1:21" x14ac:dyDescent="0.3">
      <c r="A1823" t="str">
        <f>"310026059"</f>
        <v>310026059</v>
      </c>
      <c r="D1823" t="str">
        <f>"DENTIFREE PARC DU DIAPASON"</f>
        <v>DENTIFREE PARC DU DIAPASON</v>
      </c>
      <c r="E1823" t="str">
        <f>"BAT C"</f>
        <v>BAT C</v>
      </c>
      <c r="F1823" t="str">
        <f>"RUE JEAN BART"</f>
        <v>RUE JEAN BART</v>
      </c>
      <c r="H1823" t="str">
        <f>"31670"</f>
        <v>31670</v>
      </c>
      <c r="I1823" t="str">
        <f>"LABEGE"</f>
        <v>LABEGE</v>
      </c>
      <c r="J1823" t="str">
        <f>"06 26 38 59 51 "</f>
        <v xml:space="preserve">06 26 38 59 51 </v>
      </c>
      <c r="K1823" t="str">
        <f>"09 58 57 07 16"</f>
        <v>09 58 57 07 16</v>
      </c>
      <c r="L1823" s="1">
        <v>42233</v>
      </c>
      <c r="M1823" t="str">
        <f t="shared" si="311"/>
        <v>124</v>
      </c>
      <c r="N1823" t="str">
        <f t="shared" si="312"/>
        <v>Centre de Santé</v>
      </c>
      <c r="O1823" t="str">
        <f>"60"</f>
        <v>60</v>
      </c>
      <c r="P1823" t="str">
        <f>"Association Loi 1901 non Reconnue d'Utilité Publique"</f>
        <v>Association Loi 1901 non Reconnue d'Utilité Publique</v>
      </c>
      <c r="Q1823" t="str">
        <f t="shared" si="305"/>
        <v>36</v>
      </c>
      <c r="R1823" t="str">
        <f t="shared" si="306"/>
        <v>Tarifs conventionnels assurance maladie</v>
      </c>
      <c r="U1823" t="str">
        <f>"780022927"</f>
        <v>780022927</v>
      </c>
    </row>
    <row r="1824" spans="1:21" x14ac:dyDescent="0.3">
      <c r="A1824" t="str">
        <f>"750057689"</f>
        <v>750057689</v>
      </c>
      <c r="D1824" t="str">
        <f>"CDS DENTAIRE DENTEGO PORTE D ORLEANS"</f>
        <v>CDS DENTAIRE DENTEGO PORTE D ORLEANS</v>
      </c>
      <c r="F1824" t="str">
        <f>"111 AVENUE DU GENERAL LECLERC"</f>
        <v>111 AVENUE DU GENERAL LECLERC</v>
      </c>
      <c r="H1824" t="str">
        <f>"75014"</f>
        <v>75014</v>
      </c>
      <c r="I1824" t="str">
        <f>"PARIS"</f>
        <v>PARIS</v>
      </c>
      <c r="J1824" t="str">
        <f>"01 43 71 25 86 "</f>
        <v xml:space="preserve">01 43 71 25 86 </v>
      </c>
      <c r="K1824" t="str">
        <f>"01 43 71 25 86"</f>
        <v>01 43 71 25 86</v>
      </c>
      <c r="L1824" s="1">
        <v>42222</v>
      </c>
      <c r="M1824" t="str">
        <f t="shared" si="311"/>
        <v>124</v>
      </c>
      <c r="N1824" t="str">
        <f t="shared" si="312"/>
        <v>Centre de Santé</v>
      </c>
      <c r="O1824" t="str">
        <f>"60"</f>
        <v>60</v>
      </c>
      <c r="P1824" t="str">
        <f>"Association Loi 1901 non Reconnue d'Utilité Publique"</f>
        <v>Association Loi 1901 non Reconnue d'Utilité Publique</v>
      </c>
      <c r="Q1824" t="str">
        <f t="shared" si="305"/>
        <v>36</v>
      </c>
      <c r="R1824" t="str">
        <f t="shared" si="306"/>
        <v>Tarifs conventionnels assurance maladie</v>
      </c>
      <c r="U1824" t="str">
        <f>"750057671"</f>
        <v>750057671</v>
      </c>
    </row>
    <row r="1825" spans="1:21" x14ac:dyDescent="0.3">
      <c r="A1825" t="str">
        <f>"750057457"</f>
        <v>750057457</v>
      </c>
      <c r="B1825" t="str">
        <f>"810 995 852 00011"</f>
        <v>810 995 852 00011</v>
      </c>
      <c r="D1825" t="str">
        <f>"CDS DENTAIRE DE BELLEVILLE"</f>
        <v>CDS DENTAIRE DE BELLEVILLE</v>
      </c>
      <c r="F1825" t="str">
        <f>"30 BOULEVARD DE BELLEVILLE"</f>
        <v>30 BOULEVARD DE BELLEVILLE</v>
      </c>
      <c r="H1825" t="str">
        <f>"75020"</f>
        <v>75020</v>
      </c>
      <c r="I1825" t="str">
        <f>"PARIS"</f>
        <v>PARIS</v>
      </c>
      <c r="J1825" t="str">
        <f>"06 07 26 25 76 "</f>
        <v xml:space="preserve">06 07 26 25 76 </v>
      </c>
      <c r="L1825" s="1">
        <v>42221</v>
      </c>
      <c r="M1825" t="str">
        <f t="shared" si="311"/>
        <v>124</v>
      </c>
      <c r="N1825" t="str">
        <f t="shared" si="312"/>
        <v>Centre de Santé</v>
      </c>
      <c r="O1825" t="str">
        <f>"60"</f>
        <v>60</v>
      </c>
      <c r="P1825" t="str">
        <f>"Association Loi 1901 non Reconnue d'Utilité Publique"</f>
        <v>Association Loi 1901 non Reconnue d'Utilité Publique</v>
      </c>
      <c r="Q1825" t="str">
        <f t="shared" si="305"/>
        <v>36</v>
      </c>
      <c r="R1825" t="str">
        <f t="shared" si="306"/>
        <v>Tarifs conventionnels assurance maladie</v>
      </c>
      <c r="U1825" t="str">
        <f>"750057440"</f>
        <v>750057440</v>
      </c>
    </row>
    <row r="1826" spans="1:21" x14ac:dyDescent="0.3">
      <c r="A1826" t="str">
        <f>"750057580"</f>
        <v>750057580</v>
      </c>
      <c r="B1826" t="str">
        <f>"442 488 995 00055"</f>
        <v>442 488 995 00055</v>
      </c>
      <c r="D1826" t="str">
        <f>"CDS MEDICAL ET DENTAIRE BROCA"</f>
        <v>CDS MEDICAL ET DENTAIRE BROCA</v>
      </c>
      <c r="F1826" t="str">
        <f>"94 RUE BROCA"</f>
        <v>94 RUE BROCA</v>
      </c>
      <c r="H1826" t="str">
        <f>"75013"</f>
        <v>75013</v>
      </c>
      <c r="I1826" t="str">
        <f>"PARIS"</f>
        <v>PARIS</v>
      </c>
      <c r="J1826" t="str">
        <f>"01 42 78 58 60 "</f>
        <v xml:space="preserve">01 42 78 58 60 </v>
      </c>
      <c r="K1826" t="str">
        <f>"01 42 78 58 69"</f>
        <v>01 42 78 58 69</v>
      </c>
      <c r="L1826" s="1">
        <v>42220</v>
      </c>
      <c r="M1826" t="str">
        <f t="shared" si="311"/>
        <v>124</v>
      </c>
      <c r="N1826" t="str">
        <f t="shared" si="312"/>
        <v>Centre de Santé</v>
      </c>
      <c r="O1826" t="str">
        <f>"47"</f>
        <v>47</v>
      </c>
      <c r="P1826" t="str">
        <f>"Société Mutualiste"</f>
        <v>Société Mutualiste</v>
      </c>
      <c r="Q1826" t="str">
        <f t="shared" si="305"/>
        <v>36</v>
      </c>
      <c r="R1826" t="str">
        <f t="shared" si="306"/>
        <v>Tarifs conventionnels assurance maladie</v>
      </c>
      <c r="U1826" t="str">
        <f>"750810269"</f>
        <v>750810269</v>
      </c>
    </row>
    <row r="1827" spans="1:21" x14ac:dyDescent="0.3">
      <c r="A1827" t="str">
        <f>"590058335"</f>
        <v>590058335</v>
      </c>
      <c r="B1827" t="str">
        <f>"215 903 097 00016"</f>
        <v>215 903 097 00016</v>
      </c>
      <c r="D1827" t="str">
        <f>"CENTRE DE SANTÉ MUNICIPAL"</f>
        <v>CENTRE DE SANTÉ MUNICIPAL</v>
      </c>
      <c r="F1827" t="str">
        <f>"2 RUE DU MARÉCHAL FOCH"</f>
        <v>2 RUE DU MARÉCHAL FOCH</v>
      </c>
      <c r="H1827" t="str">
        <f>"59122"</f>
        <v>59122</v>
      </c>
      <c r="I1827" t="str">
        <f>"HONDSCHOOTE"</f>
        <v>HONDSCHOOTE</v>
      </c>
      <c r="J1827" t="str">
        <f>"03 28 68 31 55 "</f>
        <v xml:space="preserve">03 28 68 31 55 </v>
      </c>
      <c r="L1827" s="1">
        <v>42215</v>
      </c>
      <c r="M1827" t="str">
        <f t="shared" si="311"/>
        <v>124</v>
      </c>
      <c r="N1827" t="str">
        <f t="shared" si="312"/>
        <v>Centre de Santé</v>
      </c>
      <c r="O1827" t="str">
        <f>"03"</f>
        <v>03</v>
      </c>
      <c r="P1827" t="str">
        <f>"Commune"</f>
        <v>Commune</v>
      </c>
      <c r="Q1827" t="str">
        <f t="shared" si="305"/>
        <v>36</v>
      </c>
      <c r="R1827" t="str">
        <f t="shared" si="306"/>
        <v>Tarifs conventionnels assurance maladie</v>
      </c>
      <c r="U1827" t="str">
        <f>"590058327"</f>
        <v>590058327</v>
      </c>
    </row>
    <row r="1828" spans="1:21" x14ac:dyDescent="0.3">
      <c r="A1828" t="str">
        <f>"750057424"</f>
        <v>750057424</v>
      </c>
      <c r="B1828" t="str">
        <f>"775 726 706 00010"</f>
        <v>775 726 706 00010</v>
      </c>
      <c r="D1828" t="str">
        <f>"CDS PARIS 14"</f>
        <v>CDS PARIS 14</v>
      </c>
      <c r="F1828" t="str">
        <f>"185 RUE RAYMOND LOSSERAND"</f>
        <v>185 RUE RAYMOND LOSSERAND</v>
      </c>
      <c r="H1828" t="str">
        <f>"75014"</f>
        <v>75014</v>
      </c>
      <c r="I1828" t="str">
        <f>"PARIS"</f>
        <v>PARIS</v>
      </c>
      <c r="J1828" t="str">
        <f>"01 44 12 30 47 "</f>
        <v xml:space="preserve">01 44 12 30 47 </v>
      </c>
      <c r="K1828" t="str">
        <f>"01 44 12 88 12"</f>
        <v>01 44 12 88 12</v>
      </c>
      <c r="L1828" s="1">
        <v>42202</v>
      </c>
      <c r="M1828" t="str">
        <f t="shared" si="311"/>
        <v>124</v>
      </c>
      <c r="N1828" t="str">
        <f t="shared" si="312"/>
        <v>Centre de Santé</v>
      </c>
      <c r="O1828" t="str">
        <f>"61"</f>
        <v>61</v>
      </c>
      <c r="P1828" t="str">
        <f>"Association Loi 1901 Reconnue d'Utilité Publique"</f>
        <v>Association Loi 1901 Reconnue d'Utilité Publique</v>
      </c>
      <c r="Q1828" t="str">
        <f t="shared" ref="Q1828:Q1891" si="315">"36"</f>
        <v>36</v>
      </c>
      <c r="R1828" t="str">
        <f t="shared" ref="R1828:R1891" si="316">"Tarifs conventionnels assurance maladie"</f>
        <v>Tarifs conventionnels assurance maladie</v>
      </c>
      <c r="U1828" t="str">
        <f>"920000445"</f>
        <v>920000445</v>
      </c>
    </row>
    <row r="1829" spans="1:21" x14ac:dyDescent="0.3">
      <c r="A1829" t="str">
        <f>"930026190"</f>
        <v>930026190</v>
      </c>
      <c r="B1829" t="str">
        <f>"219 300 019 00375"</f>
        <v>219 300 019 00375</v>
      </c>
      <c r="D1829" t="str">
        <f>"CDS MUNICIPAL DU MARCREUX"</f>
        <v>CDS MUNICIPAL DU MARCREUX</v>
      </c>
      <c r="F1829" t="str">
        <f>"20 RUE DU COLONEL FABIEN"</f>
        <v>20 RUE DU COLONEL FABIEN</v>
      </c>
      <c r="H1829" t="str">
        <f>"93300"</f>
        <v>93300</v>
      </c>
      <c r="I1829" t="str">
        <f>"AUBERVILLIERS"</f>
        <v>AUBERVILLIERS</v>
      </c>
      <c r="J1829" t="str">
        <f>"01 48 11 21 90 "</f>
        <v xml:space="preserve">01 48 11 21 90 </v>
      </c>
      <c r="L1829" s="1">
        <v>42193</v>
      </c>
      <c r="M1829" t="str">
        <f t="shared" si="311"/>
        <v>124</v>
      </c>
      <c r="N1829" t="str">
        <f t="shared" si="312"/>
        <v>Centre de Santé</v>
      </c>
      <c r="O1829" t="str">
        <f>"03"</f>
        <v>03</v>
      </c>
      <c r="P1829" t="str">
        <f>"Commune"</f>
        <v>Commune</v>
      </c>
      <c r="Q1829" t="str">
        <f t="shared" si="315"/>
        <v>36</v>
      </c>
      <c r="R1829" t="str">
        <f t="shared" si="316"/>
        <v>Tarifs conventionnels assurance maladie</v>
      </c>
      <c r="U1829" t="str">
        <f>"930812862"</f>
        <v>930812862</v>
      </c>
    </row>
    <row r="1830" spans="1:21" x14ac:dyDescent="0.3">
      <c r="A1830" t="str">
        <f>"100010248"</f>
        <v>100010248</v>
      </c>
      <c r="B1830" t="str">
        <f>"211 002 605 00460"</f>
        <v>211 002 605 00460</v>
      </c>
      <c r="D1830" t="str">
        <f>"CTRE MUNICIPAL DE SANTE NOGENT/SEINE"</f>
        <v>CTRE MUNICIPAL DE SANTE NOGENT/SEINE</v>
      </c>
      <c r="F1830" t="str">
        <f>"51 AVENUE SAINT ROCH"</f>
        <v>51 AVENUE SAINT ROCH</v>
      </c>
      <c r="H1830" t="str">
        <f>"10400"</f>
        <v>10400</v>
      </c>
      <c r="I1830" t="str">
        <f>"NOGENT SUR SEINE"</f>
        <v>NOGENT SUR SEINE</v>
      </c>
      <c r="L1830" s="1">
        <v>42186</v>
      </c>
      <c r="M1830" t="str">
        <f t="shared" si="311"/>
        <v>124</v>
      </c>
      <c r="N1830" t="str">
        <f t="shared" si="312"/>
        <v>Centre de Santé</v>
      </c>
      <c r="O1830" t="str">
        <f>"03"</f>
        <v>03</v>
      </c>
      <c r="P1830" t="str">
        <f>"Commune"</f>
        <v>Commune</v>
      </c>
      <c r="Q1830" t="str">
        <f t="shared" si="315"/>
        <v>36</v>
      </c>
      <c r="R1830" t="str">
        <f t="shared" si="316"/>
        <v>Tarifs conventionnels assurance maladie</v>
      </c>
      <c r="U1830" t="str">
        <f>"100010230"</f>
        <v>100010230</v>
      </c>
    </row>
    <row r="1831" spans="1:21" x14ac:dyDescent="0.3">
      <c r="A1831" t="str">
        <f>"950041988"</f>
        <v>950041988</v>
      </c>
      <c r="D1831" t="str">
        <f>"CDS MEDICO DENTAIRE ARGENTEUIL"</f>
        <v>CDS MEDICO DENTAIRE ARGENTEUIL</v>
      </c>
      <c r="F1831" t="str">
        <f>"155 AVENUE MAURICE UTRILLO"</f>
        <v>155 AVENUE MAURICE UTRILLO</v>
      </c>
      <c r="H1831" t="str">
        <f>"95100"</f>
        <v>95100</v>
      </c>
      <c r="I1831" t="str">
        <f>"ARGENTEUIL"</f>
        <v>ARGENTEUIL</v>
      </c>
      <c r="J1831" t="str">
        <f>"01 83 84 44 84 "</f>
        <v xml:space="preserve">01 83 84 44 84 </v>
      </c>
      <c r="L1831" s="1">
        <v>42173</v>
      </c>
      <c r="M1831" t="str">
        <f t="shared" si="311"/>
        <v>124</v>
      </c>
      <c r="N1831" t="str">
        <f t="shared" si="312"/>
        <v>Centre de Santé</v>
      </c>
      <c r="O1831" t="str">
        <f>"60"</f>
        <v>60</v>
      </c>
      <c r="P1831" t="str">
        <f>"Association Loi 1901 non Reconnue d'Utilité Publique"</f>
        <v>Association Loi 1901 non Reconnue d'Utilité Publique</v>
      </c>
      <c r="Q1831" t="str">
        <f t="shared" si="315"/>
        <v>36</v>
      </c>
      <c r="R1831" t="str">
        <f t="shared" si="316"/>
        <v>Tarifs conventionnels assurance maladie</v>
      </c>
      <c r="U1831" t="str">
        <f>"950041970"</f>
        <v>950041970</v>
      </c>
    </row>
    <row r="1832" spans="1:21" x14ac:dyDescent="0.3">
      <c r="A1832" t="str">
        <f>"330058272"</f>
        <v>330058272</v>
      </c>
      <c r="B1832" t="str">
        <f>"213 300 098 00018"</f>
        <v>213 300 098 00018</v>
      </c>
      <c r="D1832" t="str">
        <f>"CENTRE MUNICIPAL DE SANTE D'ARCACHON"</f>
        <v>CENTRE MUNICIPAL DE SANTE D'ARCACHON</v>
      </c>
      <c r="E1832" t="str">
        <f>"RESIDENCE VALLEAU"</f>
        <v>RESIDENCE VALLEAU</v>
      </c>
      <c r="F1832" t="str">
        <f>"1 PLACE JEAN MOULIN"</f>
        <v>1 PLACE JEAN MOULIN</v>
      </c>
      <c r="H1832" t="str">
        <f>"33311"</f>
        <v>33311</v>
      </c>
      <c r="I1832" t="str">
        <f>"ARCACHON CEDEX"</f>
        <v>ARCACHON CEDEX</v>
      </c>
      <c r="J1832" t="str">
        <f>"08 00 00 03 75 "</f>
        <v xml:space="preserve">08 00 00 03 75 </v>
      </c>
      <c r="K1832" t="str">
        <f>"05 56 83 44 37"</f>
        <v>05 56 83 44 37</v>
      </c>
      <c r="L1832" s="1">
        <v>42170</v>
      </c>
      <c r="M1832" t="str">
        <f t="shared" si="311"/>
        <v>124</v>
      </c>
      <c r="N1832" t="str">
        <f t="shared" si="312"/>
        <v>Centre de Santé</v>
      </c>
      <c r="O1832" t="str">
        <f>"03"</f>
        <v>03</v>
      </c>
      <c r="P1832" t="str">
        <f>"Commune"</f>
        <v>Commune</v>
      </c>
      <c r="Q1832" t="str">
        <f t="shared" si="315"/>
        <v>36</v>
      </c>
      <c r="R1832" t="str">
        <f t="shared" si="316"/>
        <v>Tarifs conventionnels assurance maladie</v>
      </c>
      <c r="U1832" t="str">
        <f>"330058264"</f>
        <v>330058264</v>
      </c>
    </row>
    <row r="1833" spans="1:21" x14ac:dyDescent="0.3">
      <c r="A1833" t="str">
        <f>"680020583"</f>
        <v>680020583</v>
      </c>
      <c r="B1833" t="str">
        <f>"778 954 305 00018"</f>
        <v>778 954 305 00018</v>
      </c>
      <c r="D1833" t="str">
        <f>"CENTRE DE SANTE SPECIALISE ARFP"</f>
        <v>CENTRE DE SANTE SPECIALISE ARFP</v>
      </c>
      <c r="F1833" t="str">
        <f>"57 RUE ALBERT CAMUS"</f>
        <v>57 RUE ALBERT CAMUS</v>
      </c>
      <c r="H1833" t="str">
        <f>"68093"</f>
        <v>68093</v>
      </c>
      <c r="I1833" t="str">
        <f>"MULHOUSE CEDEX 2"</f>
        <v>MULHOUSE CEDEX 2</v>
      </c>
      <c r="J1833" t="str">
        <f>"03 89 34 30 44 "</f>
        <v xml:space="preserve">03 89 34 30 44 </v>
      </c>
      <c r="K1833" t="str">
        <f>"03 89 32 73 20"</f>
        <v>03 89 32 73 20</v>
      </c>
      <c r="L1833" s="1">
        <v>42170</v>
      </c>
      <c r="M1833" t="str">
        <f t="shared" si="311"/>
        <v>124</v>
      </c>
      <c r="N1833" t="str">
        <f t="shared" si="312"/>
        <v>Centre de Santé</v>
      </c>
      <c r="O1833" t="str">
        <f>"62"</f>
        <v>62</v>
      </c>
      <c r="P1833" t="str">
        <f>"Association de Droit Local"</f>
        <v>Association de Droit Local</v>
      </c>
      <c r="Q1833" t="str">
        <f t="shared" si="315"/>
        <v>36</v>
      </c>
      <c r="R1833" t="str">
        <f t="shared" si="316"/>
        <v>Tarifs conventionnels assurance maladie</v>
      </c>
      <c r="U1833" t="str">
        <f>"680000353"</f>
        <v>680000353</v>
      </c>
    </row>
    <row r="1834" spans="1:21" x14ac:dyDescent="0.3">
      <c r="A1834" t="str">
        <f>"930026158"</f>
        <v>930026158</v>
      </c>
      <c r="B1834" t="str">
        <f>"811 000 710 00012"</f>
        <v>811 000 710 00012</v>
      </c>
      <c r="D1834" t="str">
        <f>"CDS GALION"</f>
        <v>CDS GALION</v>
      </c>
      <c r="F1834" t="str">
        <f>"8 RUE GEORGES SEURAT"</f>
        <v>8 RUE GEORGES SEURAT</v>
      </c>
      <c r="H1834" t="str">
        <f>"93600"</f>
        <v>93600</v>
      </c>
      <c r="I1834" t="str">
        <f>"AULNAY SOUS BOIS"</f>
        <v>AULNAY SOUS BOIS</v>
      </c>
      <c r="J1834" t="str">
        <f>"06 24 39 97 11 "</f>
        <v xml:space="preserve">06 24 39 97 11 </v>
      </c>
      <c r="L1834" s="1">
        <v>42165</v>
      </c>
      <c r="M1834" t="str">
        <f t="shared" si="311"/>
        <v>124</v>
      </c>
      <c r="N1834" t="str">
        <f t="shared" si="312"/>
        <v>Centre de Santé</v>
      </c>
      <c r="O1834" t="str">
        <f>"60"</f>
        <v>60</v>
      </c>
      <c r="P1834" t="str">
        <f>"Association Loi 1901 non Reconnue d'Utilité Publique"</f>
        <v>Association Loi 1901 non Reconnue d'Utilité Publique</v>
      </c>
      <c r="Q1834" t="str">
        <f t="shared" si="315"/>
        <v>36</v>
      </c>
      <c r="R1834" t="str">
        <f t="shared" si="316"/>
        <v>Tarifs conventionnels assurance maladie</v>
      </c>
      <c r="U1834" t="str">
        <f>"930026141"</f>
        <v>930026141</v>
      </c>
    </row>
    <row r="1835" spans="1:21" x14ac:dyDescent="0.3">
      <c r="A1835" t="str">
        <f>"270027782"</f>
        <v>270027782</v>
      </c>
      <c r="D1835" t="str">
        <f>"CENTRE DE SANTE LA MUSSE"</f>
        <v>CENTRE DE SANTE LA MUSSE</v>
      </c>
      <c r="F1835" t="str">
        <f>"ALLEE LOUIS MARTIN"</f>
        <v>ALLEE LOUIS MARTIN</v>
      </c>
      <c r="G1835" t="str">
        <f>"CS 20119"</f>
        <v>CS 20119</v>
      </c>
      <c r="H1835" t="str">
        <f>"27180"</f>
        <v>27180</v>
      </c>
      <c r="I1835" t="str">
        <f>"ST SEBASTIEN DE MORSENT"</f>
        <v>ST SEBASTIEN DE MORSENT</v>
      </c>
      <c r="L1835" s="1">
        <v>42163</v>
      </c>
      <c r="M1835" t="str">
        <f t="shared" si="311"/>
        <v>124</v>
      </c>
      <c r="N1835" t="str">
        <f t="shared" si="312"/>
        <v>Centre de Santé</v>
      </c>
      <c r="O1835" t="str">
        <f>"63"</f>
        <v>63</v>
      </c>
      <c r="P1835" t="str">
        <f>"Fondation"</f>
        <v>Fondation</v>
      </c>
      <c r="Q1835" t="str">
        <f t="shared" si="315"/>
        <v>36</v>
      </c>
      <c r="R1835" t="str">
        <f t="shared" si="316"/>
        <v>Tarifs conventionnels assurance maladie</v>
      </c>
      <c r="U1835" t="str">
        <f>"750814030"</f>
        <v>750814030</v>
      </c>
    </row>
    <row r="1836" spans="1:21" x14ac:dyDescent="0.3">
      <c r="A1836" t="str">
        <f>"750057358"</f>
        <v>750057358</v>
      </c>
      <c r="D1836" t="str">
        <f>"CDS EDMOND DE ROTHSCHILD"</f>
        <v>CDS EDMOND DE ROTHSCHILD</v>
      </c>
      <c r="F1836" t="str">
        <f>"55 AVENUE JEAN JAURES"</f>
        <v>55 AVENUE JEAN JAURES</v>
      </c>
      <c r="H1836" t="str">
        <f>"75019"</f>
        <v>75019</v>
      </c>
      <c r="I1836" t="str">
        <f>"PARIS"</f>
        <v>PARIS</v>
      </c>
      <c r="J1836" t="str">
        <f>"01 48 03 63 25 "</f>
        <v xml:space="preserve">01 48 03 63 25 </v>
      </c>
      <c r="L1836" s="1">
        <v>42163</v>
      </c>
      <c r="M1836" t="str">
        <f t="shared" si="311"/>
        <v>124</v>
      </c>
      <c r="N1836" t="str">
        <f t="shared" si="312"/>
        <v>Centre de Santé</v>
      </c>
      <c r="O1836" t="str">
        <f>"63"</f>
        <v>63</v>
      </c>
      <c r="P1836" t="str">
        <f>"Fondation"</f>
        <v>Fondation</v>
      </c>
      <c r="Q1836" t="str">
        <f t="shared" si="315"/>
        <v>36</v>
      </c>
      <c r="R1836" t="str">
        <f t="shared" si="316"/>
        <v>Tarifs conventionnels assurance maladie</v>
      </c>
      <c r="U1836" t="str">
        <f>"750150229"</f>
        <v>750150229</v>
      </c>
    </row>
    <row r="1837" spans="1:21" x14ac:dyDescent="0.3">
      <c r="A1837" t="str">
        <f>"600100424"</f>
        <v>600100424</v>
      </c>
      <c r="B1837" t="str">
        <f>"266 001 551 00016"</f>
        <v>266 001 551 00016</v>
      </c>
      <c r="D1837" t="str">
        <f>"CS CCAS CIRES-LÈS-MELLO"</f>
        <v>CS CCAS CIRES-LÈS-MELLO</v>
      </c>
      <c r="F1837" t="str">
        <f>"7 RUE DES PETITS PRÉS"</f>
        <v>7 RUE DES PETITS PRÉS</v>
      </c>
      <c r="H1837" t="str">
        <f>"60660"</f>
        <v>60660</v>
      </c>
      <c r="I1837" t="str">
        <f>"CIRES LES MELLO"</f>
        <v>CIRES LES MELLO</v>
      </c>
      <c r="J1837" t="str">
        <f>"03 44 56 41 44 "</f>
        <v xml:space="preserve">03 44 56 41 44 </v>
      </c>
      <c r="K1837" t="str">
        <f>"03 44 29 49 02"</f>
        <v>03 44 29 49 02</v>
      </c>
      <c r="L1837" s="1">
        <v>42160</v>
      </c>
      <c r="M1837" t="str">
        <f t="shared" si="311"/>
        <v>124</v>
      </c>
      <c r="N1837" t="str">
        <f t="shared" si="312"/>
        <v>Centre de Santé</v>
      </c>
      <c r="O1837" t="str">
        <f>"17"</f>
        <v>17</v>
      </c>
      <c r="P1837" t="str">
        <f>"Centre Communal d'Action Sociale"</f>
        <v>Centre Communal d'Action Sociale</v>
      </c>
      <c r="Q1837" t="str">
        <f t="shared" si="315"/>
        <v>36</v>
      </c>
      <c r="R1837" t="str">
        <f t="shared" si="316"/>
        <v>Tarifs conventionnels assurance maladie</v>
      </c>
      <c r="U1837" t="str">
        <f>"600005888"</f>
        <v>600005888</v>
      </c>
    </row>
    <row r="1838" spans="1:21" x14ac:dyDescent="0.3">
      <c r="A1838" t="str">
        <f>"130044936"</f>
        <v>130044936</v>
      </c>
      <c r="B1838" t="str">
        <f>"811 198 779 00019"</f>
        <v>811 198 779 00019</v>
      </c>
      <c r="D1838" t="str">
        <f>"CDS DENTAIRE SOURIRE DU COEUR"</f>
        <v>CDS DENTAIRE SOURIRE DU COEUR</v>
      </c>
      <c r="E1838" t="str">
        <f>"CENTRE MEDICAL ILE VERTE BAT A"</f>
        <v>CENTRE MEDICAL ILE VERTE BAT A</v>
      </c>
      <c r="F1838" t="str">
        <f>"2 ALLEE DES AMANDIERS"</f>
        <v>2 ALLEE DES AMANDIERS</v>
      </c>
      <c r="H1838" t="str">
        <f>"13090"</f>
        <v>13090</v>
      </c>
      <c r="I1838" t="str">
        <f>"AIX EN PROVENCE"</f>
        <v>AIX EN PROVENCE</v>
      </c>
      <c r="J1838" t="str">
        <f>"04 42 20 00 00 "</f>
        <v xml:space="preserve">04 42 20 00 00 </v>
      </c>
      <c r="L1838" s="1">
        <v>42158</v>
      </c>
      <c r="M1838" t="str">
        <f t="shared" si="311"/>
        <v>124</v>
      </c>
      <c r="N1838" t="str">
        <f t="shared" si="312"/>
        <v>Centre de Santé</v>
      </c>
      <c r="O1838" t="str">
        <f>"60"</f>
        <v>60</v>
      </c>
      <c r="P1838" t="str">
        <f>"Association Loi 1901 non Reconnue d'Utilité Publique"</f>
        <v>Association Loi 1901 non Reconnue d'Utilité Publique</v>
      </c>
      <c r="Q1838" t="str">
        <f t="shared" si="315"/>
        <v>36</v>
      </c>
      <c r="R1838" t="str">
        <f t="shared" si="316"/>
        <v>Tarifs conventionnels assurance maladie</v>
      </c>
      <c r="U1838" t="str">
        <f>"130044928"</f>
        <v>130044928</v>
      </c>
    </row>
    <row r="1839" spans="1:21" x14ac:dyDescent="0.3">
      <c r="A1839" t="str">
        <f>"280007287"</f>
        <v>280007287</v>
      </c>
      <c r="B1839" t="str">
        <f>"212 800 882 00533"</f>
        <v>212 800 882 00533</v>
      </c>
      <c r="D1839" t="str">
        <f>"CENTRE DE SANTE MUNICIPAL"</f>
        <v>CENTRE DE SANTE MUNICIPAL</v>
      </c>
      <c r="F1839" t="str">
        <f>"11 RUE DE SANCHEVILLE"</f>
        <v>11 RUE DE SANCHEVILLE</v>
      </c>
      <c r="H1839" t="str">
        <f>"28200"</f>
        <v>28200</v>
      </c>
      <c r="I1839" t="str">
        <f>"CHATEAUDUN"</f>
        <v>CHATEAUDUN</v>
      </c>
      <c r="J1839" t="str">
        <f>"02 37 45 20 17 "</f>
        <v xml:space="preserve">02 37 45 20 17 </v>
      </c>
      <c r="K1839" t="str">
        <f>"02 37 45 79 36"</f>
        <v>02 37 45 79 36</v>
      </c>
      <c r="L1839" s="1">
        <v>42158</v>
      </c>
      <c r="M1839" t="str">
        <f t="shared" si="311"/>
        <v>124</v>
      </c>
      <c r="N1839" t="str">
        <f t="shared" si="312"/>
        <v>Centre de Santé</v>
      </c>
      <c r="O1839" t="str">
        <f>"03"</f>
        <v>03</v>
      </c>
      <c r="P1839" t="str">
        <f>"Commune"</f>
        <v>Commune</v>
      </c>
      <c r="Q1839" t="str">
        <f t="shared" si="315"/>
        <v>36</v>
      </c>
      <c r="R1839" t="str">
        <f t="shared" si="316"/>
        <v>Tarifs conventionnels assurance maladie</v>
      </c>
      <c r="U1839" t="str">
        <f>"280007279"</f>
        <v>280007279</v>
      </c>
    </row>
    <row r="1840" spans="1:21" x14ac:dyDescent="0.3">
      <c r="A1840" t="str">
        <f>"330058215"</f>
        <v>330058215</v>
      </c>
      <c r="B1840" t="str">
        <f>"334 793 346 00035"</f>
        <v>334 793 346 00035</v>
      </c>
      <c r="D1840" t="str">
        <f>"CENTRE DE SANTE INFIRMIER-BX CAUDERAN"</f>
        <v>CENTRE DE SANTE INFIRMIER-BX CAUDERAN</v>
      </c>
      <c r="E1840" t="str">
        <f>"LOT 2"</f>
        <v>LOT 2</v>
      </c>
      <c r="F1840" t="str">
        <f>"255 AVENUE MAL DE LATTRE DE TASSIGNY"</f>
        <v>255 AVENUE MAL DE LATTRE DE TASSIGNY</v>
      </c>
      <c r="H1840" t="str">
        <f>"33200"</f>
        <v>33200</v>
      </c>
      <c r="I1840" t="str">
        <f>"BORDEAUX"</f>
        <v>BORDEAUX</v>
      </c>
      <c r="J1840" t="str">
        <f>"05 56 55 04 38 "</f>
        <v xml:space="preserve">05 56 55 04 38 </v>
      </c>
      <c r="K1840" t="str">
        <f>"05 56 97 93 69"</f>
        <v>05 56 97 93 69</v>
      </c>
      <c r="L1840" s="1">
        <v>42156</v>
      </c>
      <c r="M1840" t="str">
        <f t="shared" si="311"/>
        <v>124</v>
      </c>
      <c r="N1840" t="str">
        <f t="shared" si="312"/>
        <v>Centre de Santé</v>
      </c>
      <c r="O1840" t="str">
        <f>"60"</f>
        <v>60</v>
      </c>
      <c r="P1840" t="str">
        <f>"Association Loi 1901 non Reconnue d'Utilité Publique"</f>
        <v>Association Loi 1901 non Reconnue d'Utilité Publique</v>
      </c>
      <c r="Q1840" t="str">
        <f t="shared" si="315"/>
        <v>36</v>
      </c>
      <c r="R1840" t="str">
        <f t="shared" si="316"/>
        <v>Tarifs conventionnels assurance maladie</v>
      </c>
      <c r="U1840" t="str">
        <f>"330054941"</f>
        <v>330054941</v>
      </c>
    </row>
    <row r="1841" spans="1:21" x14ac:dyDescent="0.3">
      <c r="A1841" t="str">
        <f>"750057317"</f>
        <v>750057317</v>
      </c>
      <c r="B1841" t="str">
        <f>"810 475 368 00017"</f>
        <v>810 475 368 00017</v>
      </c>
      <c r="D1841" t="str">
        <f>"CDS REPUBLIQUE"</f>
        <v>CDS REPUBLIQUE</v>
      </c>
      <c r="F1841" t="str">
        <f>"13 RUE YVES TOUDIC"</f>
        <v>13 RUE YVES TOUDIC</v>
      </c>
      <c r="H1841" t="str">
        <f>"75010"</f>
        <v>75010</v>
      </c>
      <c r="I1841" t="str">
        <f>"PARIS"</f>
        <v>PARIS</v>
      </c>
      <c r="J1841" t="str">
        <f>"01 42 45 26 98 "</f>
        <v xml:space="preserve">01 42 45 26 98 </v>
      </c>
      <c r="K1841" t="str">
        <f>"09 70 24 91 02"</f>
        <v>09 70 24 91 02</v>
      </c>
      <c r="L1841" s="1">
        <v>42151</v>
      </c>
      <c r="M1841" t="str">
        <f t="shared" si="311"/>
        <v>124</v>
      </c>
      <c r="N1841" t="str">
        <f t="shared" si="312"/>
        <v>Centre de Santé</v>
      </c>
      <c r="O1841" t="str">
        <f>"60"</f>
        <v>60</v>
      </c>
      <c r="P1841" t="str">
        <f>"Association Loi 1901 non Reconnue d'Utilité Publique"</f>
        <v>Association Loi 1901 non Reconnue d'Utilité Publique</v>
      </c>
      <c r="Q1841" t="str">
        <f t="shared" si="315"/>
        <v>36</v>
      </c>
      <c r="R1841" t="str">
        <f t="shared" si="316"/>
        <v>Tarifs conventionnels assurance maladie</v>
      </c>
      <c r="U1841" t="str">
        <f>"750057309"</f>
        <v>750057309</v>
      </c>
    </row>
    <row r="1842" spans="1:21" x14ac:dyDescent="0.3">
      <c r="A1842" t="str">
        <f>"750057333"</f>
        <v>750057333</v>
      </c>
      <c r="D1842" t="str">
        <f>"CDS DENTEGO VOLTAIRE"</f>
        <v>CDS DENTEGO VOLTAIRE</v>
      </c>
      <c r="F1842" t="str">
        <f>"115 BOULEVARD VOLTAIRE"</f>
        <v>115 BOULEVARD VOLTAIRE</v>
      </c>
      <c r="H1842" t="str">
        <f>"75011"</f>
        <v>75011</v>
      </c>
      <c r="I1842" t="str">
        <f>"PARIS"</f>
        <v>PARIS</v>
      </c>
      <c r="J1842" t="str">
        <f>"01 40 09 58 80 "</f>
        <v xml:space="preserve">01 40 09 58 80 </v>
      </c>
      <c r="L1842" s="1">
        <v>42151</v>
      </c>
      <c r="M1842" t="str">
        <f t="shared" si="311"/>
        <v>124</v>
      </c>
      <c r="N1842" t="str">
        <f t="shared" si="312"/>
        <v>Centre de Santé</v>
      </c>
      <c r="O1842" t="str">
        <f>"60"</f>
        <v>60</v>
      </c>
      <c r="P1842" t="str">
        <f>"Association Loi 1901 non Reconnue d'Utilité Publique"</f>
        <v>Association Loi 1901 non Reconnue d'Utilité Publique</v>
      </c>
      <c r="Q1842" t="str">
        <f t="shared" si="315"/>
        <v>36</v>
      </c>
      <c r="R1842" t="str">
        <f t="shared" si="316"/>
        <v>Tarifs conventionnels assurance maladie</v>
      </c>
      <c r="U1842" t="str">
        <f>"750057325"</f>
        <v>750057325</v>
      </c>
    </row>
    <row r="1843" spans="1:21" x14ac:dyDescent="0.3">
      <c r="A1843" t="str">
        <f>"690040993"</f>
        <v>690040993</v>
      </c>
      <c r="D1843" t="str">
        <f>"CENTRE DE SANTE DE BRON - ECHOGRAPHIE"</f>
        <v>CENTRE DE SANTE DE BRON - ECHOGRAPHIE</v>
      </c>
      <c r="F1843" t="str">
        <f>"154 AVENUE FRANKLIN ROOSEVELT"</f>
        <v>154 AVENUE FRANKLIN ROOSEVELT</v>
      </c>
      <c r="H1843" t="str">
        <f>"69500"</f>
        <v>69500</v>
      </c>
      <c r="I1843" t="str">
        <f>"BRON"</f>
        <v>BRON</v>
      </c>
      <c r="J1843" t="str">
        <f>"06 80 08 29 67 "</f>
        <v xml:space="preserve">06 80 08 29 67 </v>
      </c>
      <c r="L1843" s="1">
        <v>42137</v>
      </c>
      <c r="M1843" t="str">
        <f t="shared" si="311"/>
        <v>124</v>
      </c>
      <c r="N1843" t="str">
        <f t="shared" si="312"/>
        <v>Centre de Santé</v>
      </c>
      <c r="O1843" t="str">
        <f>"60"</f>
        <v>60</v>
      </c>
      <c r="P1843" t="str">
        <f>"Association Loi 1901 non Reconnue d'Utilité Publique"</f>
        <v>Association Loi 1901 non Reconnue d'Utilité Publique</v>
      </c>
      <c r="Q1843" t="str">
        <f t="shared" si="315"/>
        <v>36</v>
      </c>
      <c r="R1843" t="str">
        <f t="shared" si="316"/>
        <v>Tarifs conventionnels assurance maladie</v>
      </c>
      <c r="U1843" t="str">
        <f>"420013971"</f>
        <v>420013971</v>
      </c>
    </row>
    <row r="1844" spans="1:21" x14ac:dyDescent="0.3">
      <c r="A1844" t="str">
        <f>"020005633"</f>
        <v>020005633</v>
      </c>
      <c r="B1844" t="str">
        <f>"311 483 143 00013"</f>
        <v>311 483 143 00013</v>
      </c>
      <c r="D1844" t="str">
        <f>"CS ALS LAON"</f>
        <v>CS ALS LAON</v>
      </c>
      <c r="F1844" t="str">
        <f>"3 AVENUE CHARLES DE GAULLE"</f>
        <v>3 AVENUE CHARLES DE GAULLE</v>
      </c>
      <c r="H1844" t="str">
        <f>"02000"</f>
        <v>02000</v>
      </c>
      <c r="I1844" t="str">
        <f>"LAON"</f>
        <v>LAON</v>
      </c>
      <c r="J1844" t="str">
        <f>"03 23 79 15 92 "</f>
        <v xml:space="preserve">03 23 79 15 92 </v>
      </c>
      <c r="K1844" t="str">
        <f>"03 23 79 65 58"</f>
        <v>03 23 79 65 58</v>
      </c>
      <c r="L1844" s="1">
        <v>42136</v>
      </c>
      <c r="M1844" t="str">
        <f t="shared" si="311"/>
        <v>124</v>
      </c>
      <c r="N1844" t="str">
        <f t="shared" si="312"/>
        <v>Centre de Santé</v>
      </c>
      <c r="O1844" t="str">
        <f>"61"</f>
        <v>61</v>
      </c>
      <c r="P1844" t="str">
        <f>"Association Loi 1901 Reconnue d'Utilité Publique"</f>
        <v>Association Loi 1901 Reconnue d'Utilité Publique</v>
      </c>
      <c r="Q1844" t="str">
        <f t="shared" si="315"/>
        <v>36</v>
      </c>
      <c r="R1844" t="str">
        <f t="shared" si="316"/>
        <v>Tarifs conventionnels assurance maladie</v>
      </c>
      <c r="U1844" t="str">
        <f>"020006870"</f>
        <v>020006870</v>
      </c>
    </row>
    <row r="1845" spans="1:21" x14ac:dyDescent="0.3">
      <c r="A1845" t="str">
        <f>"060024197"</f>
        <v>060024197</v>
      </c>
      <c r="B1845" t="str">
        <f>"797 387 370 00027"</f>
        <v>797 387 370 00027</v>
      </c>
      <c r="D1845" t="str">
        <f>"CDS GORBELLA"</f>
        <v>CDS GORBELLA</v>
      </c>
      <c r="F1845" t="str">
        <f>"39 BOULEVARD GORBELLA"</f>
        <v>39 BOULEVARD GORBELLA</v>
      </c>
      <c r="H1845" t="str">
        <f>"06100"</f>
        <v>06100</v>
      </c>
      <c r="I1845" t="str">
        <f>"NICE"</f>
        <v>NICE</v>
      </c>
      <c r="J1845" t="str">
        <f>"06 84 53 74 82 "</f>
        <v xml:space="preserve">06 84 53 74 82 </v>
      </c>
      <c r="L1845" s="1">
        <v>42128</v>
      </c>
      <c r="M1845" t="str">
        <f t="shared" si="311"/>
        <v>124</v>
      </c>
      <c r="N1845" t="str">
        <f t="shared" si="312"/>
        <v>Centre de Santé</v>
      </c>
      <c r="O1845" t="str">
        <f>"60"</f>
        <v>60</v>
      </c>
      <c r="P1845" t="str">
        <f>"Association Loi 1901 non Reconnue d'Utilité Publique"</f>
        <v>Association Loi 1901 non Reconnue d'Utilité Publique</v>
      </c>
      <c r="Q1845" t="str">
        <f t="shared" si="315"/>
        <v>36</v>
      </c>
      <c r="R1845" t="str">
        <f t="shared" si="316"/>
        <v>Tarifs conventionnels assurance maladie</v>
      </c>
      <c r="U1845" t="str">
        <f>"060023850"</f>
        <v>060023850</v>
      </c>
    </row>
    <row r="1846" spans="1:21" x14ac:dyDescent="0.3">
      <c r="A1846" t="str">
        <f>"010010593"</f>
        <v>010010593</v>
      </c>
      <c r="D1846" t="str">
        <f>"CENTRE D'ECHOGRAPHIE DU MARAIS"</f>
        <v>CENTRE D'ECHOGRAPHIE DU MARAIS</v>
      </c>
      <c r="F1846" t="str">
        <f>"205 GRANDE RUE"</f>
        <v>205 GRANDE RUE</v>
      </c>
      <c r="H1846" t="str">
        <f>"01120"</f>
        <v>01120</v>
      </c>
      <c r="I1846" t="str">
        <f>"MONTLUEL"</f>
        <v>MONTLUEL</v>
      </c>
      <c r="J1846" t="str">
        <f>"06 80 08 29 67 "</f>
        <v xml:space="preserve">06 80 08 29 67 </v>
      </c>
      <c r="L1846" s="1">
        <v>42125</v>
      </c>
      <c r="M1846" t="str">
        <f t="shared" si="311"/>
        <v>124</v>
      </c>
      <c r="N1846" t="str">
        <f t="shared" si="312"/>
        <v>Centre de Santé</v>
      </c>
      <c r="O1846" t="str">
        <f>"60"</f>
        <v>60</v>
      </c>
      <c r="P1846" t="str">
        <f>"Association Loi 1901 non Reconnue d'Utilité Publique"</f>
        <v>Association Loi 1901 non Reconnue d'Utilité Publique</v>
      </c>
      <c r="Q1846" t="str">
        <f t="shared" si="315"/>
        <v>36</v>
      </c>
      <c r="R1846" t="str">
        <f t="shared" si="316"/>
        <v>Tarifs conventionnels assurance maladie</v>
      </c>
      <c r="U1846" t="str">
        <f>"420013971"</f>
        <v>420013971</v>
      </c>
    </row>
    <row r="1847" spans="1:21" x14ac:dyDescent="0.3">
      <c r="A1847" t="str">
        <f>"310025952"</f>
        <v>310025952</v>
      </c>
      <c r="B1847" t="str">
        <f>"776 950 529 00516"</f>
        <v>776 950 529 00516</v>
      </c>
      <c r="D1847" t="str">
        <f>"CENTRE DE SANTE DENTAIRE"</f>
        <v>CENTRE DE SANTE DENTAIRE</v>
      </c>
      <c r="F1847" t="str">
        <f>"3 RUE EMILE DEWAITINE"</f>
        <v>3 RUE EMILE DEWAITINE</v>
      </c>
      <c r="H1847" t="str">
        <f>"31600"</f>
        <v>31600</v>
      </c>
      <c r="I1847" t="str">
        <f>"SEYSSES"</f>
        <v>SEYSSES</v>
      </c>
      <c r="J1847" t="str">
        <f>"05 34 48 17 66 "</f>
        <v xml:space="preserve">05 34 48 17 66 </v>
      </c>
      <c r="K1847" t="str">
        <f>"05 34 48 18 59"</f>
        <v>05 34 48 18 59</v>
      </c>
      <c r="L1847" s="1">
        <v>42093</v>
      </c>
      <c r="M1847" t="str">
        <f t="shared" si="311"/>
        <v>124</v>
      </c>
      <c r="N1847" t="str">
        <f t="shared" si="312"/>
        <v>Centre de Santé</v>
      </c>
      <c r="O1847" t="str">
        <f>"47"</f>
        <v>47</v>
      </c>
      <c r="P1847" t="str">
        <f>"Société Mutualiste"</f>
        <v>Société Mutualiste</v>
      </c>
      <c r="Q1847" t="str">
        <f t="shared" si="315"/>
        <v>36</v>
      </c>
      <c r="R1847" t="str">
        <f t="shared" si="316"/>
        <v>Tarifs conventionnels assurance maladie</v>
      </c>
      <c r="U1847" t="str">
        <f>"310788682"</f>
        <v>310788682</v>
      </c>
    </row>
    <row r="1848" spans="1:21" x14ac:dyDescent="0.3">
      <c r="A1848" t="str">
        <f>"750057226"</f>
        <v>750057226</v>
      </c>
      <c r="B1848" t="str">
        <f>"805 089 315 00016"</f>
        <v>805 089 315 00016</v>
      </c>
      <c r="D1848" t="str">
        <f>"CDS MEDICO DENTAIRE AUSTERLITZ"</f>
        <v>CDS MEDICO DENTAIRE AUSTERLITZ</v>
      </c>
      <c r="F1848" t="str">
        <f>"14 BOULEVARD DE L HOPITAL"</f>
        <v>14 BOULEVARD DE L HOPITAL</v>
      </c>
      <c r="H1848" t="str">
        <f>"75005"</f>
        <v>75005</v>
      </c>
      <c r="I1848" t="str">
        <f>"PARIS"</f>
        <v>PARIS</v>
      </c>
      <c r="J1848" t="str">
        <f>"01 45 35 55 55 "</f>
        <v xml:space="preserve">01 45 35 55 55 </v>
      </c>
      <c r="L1848" s="1">
        <v>42090</v>
      </c>
      <c r="M1848" t="str">
        <f t="shared" si="311"/>
        <v>124</v>
      </c>
      <c r="N1848" t="str">
        <f t="shared" si="312"/>
        <v>Centre de Santé</v>
      </c>
      <c r="O1848" t="str">
        <f>"60"</f>
        <v>60</v>
      </c>
      <c r="P1848" t="str">
        <f>"Association Loi 1901 non Reconnue d'Utilité Publique"</f>
        <v>Association Loi 1901 non Reconnue d'Utilité Publique</v>
      </c>
      <c r="Q1848" t="str">
        <f t="shared" si="315"/>
        <v>36</v>
      </c>
      <c r="R1848" t="str">
        <f t="shared" si="316"/>
        <v>Tarifs conventionnels assurance maladie</v>
      </c>
      <c r="U1848" t="str">
        <f>"750057218"</f>
        <v>750057218</v>
      </c>
    </row>
    <row r="1849" spans="1:21" x14ac:dyDescent="0.3">
      <c r="A1849" t="str">
        <f>"750057234"</f>
        <v>750057234</v>
      </c>
      <c r="B1849" t="str">
        <f>"803 878 073 00011"</f>
        <v>803 878 073 00011</v>
      </c>
      <c r="D1849" t="str">
        <f>"CDS DENTAIRE MACDONALD"</f>
        <v>CDS DENTAIRE MACDONALD</v>
      </c>
      <c r="F1849" t="str">
        <f>"128 BOULEVARD MACDONALD"</f>
        <v>128 BOULEVARD MACDONALD</v>
      </c>
      <c r="H1849" t="str">
        <f>"75019"</f>
        <v>75019</v>
      </c>
      <c r="I1849" t="str">
        <f>"PARIS"</f>
        <v>PARIS</v>
      </c>
      <c r="J1849" t="str">
        <f>"09 67 56 53 28 "</f>
        <v xml:space="preserve">09 67 56 53 28 </v>
      </c>
      <c r="K1849" t="str">
        <f>"01 42 80 53 28"</f>
        <v>01 42 80 53 28</v>
      </c>
      <c r="L1849" s="1">
        <v>42090</v>
      </c>
      <c r="M1849" t="str">
        <f t="shared" si="311"/>
        <v>124</v>
      </c>
      <c r="N1849" t="str">
        <f t="shared" si="312"/>
        <v>Centre de Santé</v>
      </c>
      <c r="O1849" t="str">
        <f>"60"</f>
        <v>60</v>
      </c>
      <c r="P1849" t="str">
        <f>"Association Loi 1901 non Reconnue d'Utilité Publique"</f>
        <v>Association Loi 1901 non Reconnue d'Utilité Publique</v>
      </c>
      <c r="Q1849" t="str">
        <f t="shared" si="315"/>
        <v>36</v>
      </c>
      <c r="R1849" t="str">
        <f t="shared" si="316"/>
        <v>Tarifs conventionnels assurance maladie</v>
      </c>
      <c r="U1849" t="str">
        <f>"920029402"</f>
        <v>920029402</v>
      </c>
    </row>
    <row r="1850" spans="1:21" x14ac:dyDescent="0.3">
      <c r="A1850" t="str">
        <f>"920029394"</f>
        <v>920029394</v>
      </c>
      <c r="D1850" t="str">
        <f>"CDS MEDICAL ET DENTAIRE DE LA DEFENSE"</f>
        <v>CDS MEDICAL ET DENTAIRE DE LA DEFENSE</v>
      </c>
      <c r="E1850" t="str">
        <f>"5-7"</f>
        <v>5-7</v>
      </c>
      <c r="F1850" t="str">
        <f>"5 SQUARE DES COROLLES"</f>
        <v>5 SQUARE DES COROLLES</v>
      </c>
      <c r="H1850" t="str">
        <f>"92400"</f>
        <v>92400</v>
      </c>
      <c r="I1850" t="str">
        <f>"COURBEVOIE"</f>
        <v>COURBEVOIE</v>
      </c>
      <c r="J1850" t="str">
        <f>"01 47 78 50 00 "</f>
        <v xml:space="preserve">01 47 78 50 00 </v>
      </c>
      <c r="L1850" s="1">
        <v>42090</v>
      </c>
      <c r="M1850" t="str">
        <f t="shared" si="311"/>
        <v>124</v>
      </c>
      <c r="N1850" t="str">
        <f t="shared" si="312"/>
        <v>Centre de Santé</v>
      </c>
      <c r="O1850" t="str">
        <f>"60"</f>
        <v>60</v>
      </c>
      <c r="P1850" t="str">
        <f>"Association Loi 1901 non Reconnue d'Utilité Publique"</f>
        <v>Association Loi 1901 non Reconnue d'Utilité Publique</v>
      </c>
      <c r="Q1850" t="str">
        <f t="shared" si="315"/>
        <v>36</v>
      </c>
      <c r="R1850" t="str">
        <f t="shared" si="316"/>
        <v>Tarifs conventionnels assurance maladie</v>
      </c>
      <c r="U1850" t="str">
        <f>"920029386"</f>
        <v>920029386</v>
      </c>
    </row>
    <row r="1851" spans="1:21" x14ac:dyDescent="0.3">
      <c r="A1851" t="str">
        <f>"900003906"</f>
        <v>900003906</v>
      </c>
      <c r="B1851" t="str">
        <f>"794 105 650 00087"</f>
        <v>794 105 650 00087</v>
      </c>
      <c r="D1851" t="str">
        <f>"CENTRE DE SANTE DENTIFREE"</f>
        <v>CENTRE DE SANTE DENTIFREE</v>
      </c>
      <c r="F1851" t="str">
        <f>"1 AVENUE DE LA GARE TGV"</f>
        <v>1 AVENUE DE LA GARE TGV</v>
      </c>
      <c r="H1851" t="str">
        <f>"90400"</f>
        <v>90400</v>
      </c>
      <c r="I1851" t="str">
        <f>"MEROUX MOVAL"</f>
        <v>MEROUX MOVAL</v>
      </c>
      <c r="J1851" t="str">
        <f>"09 72 37 24 44 "</f>
        <v xml:space="preserve">09 72 37 24 44 </v>
      </c>
      <c r="L1851" s="1">
        <v>42081</v>
      </c>
      <c r="M1851" t="str">
        <f t="shared" si="311"/>
        <v>124</v>
      </c>
      <c r="N1851" t="str">
        <f t="shared" si="312"/>
        <v>Centre de Santé</v>
      </c>
      <c r="O1851" t="str">
        <f>"60"</f>
        <v>60</v>
      </c>
      <c r="P1851" t="str">
        <f>"Association Loi 1901 non Reconnue d'Utilité Publique"</f>
        <v>Association Loi 1901 non Reconnue d'Utilité Publique</v>
      </c>
      <c r="Q1851" t="str">
        <f t="shared" si="315"/>
        <v>36</v>
      </c>
      <c r="R1851" t="str">
        <f t="shared" si="316"/>
        <v>Tarifs conventionnels assurance maladie</v>
      </c>
      <c r="U1851" t="str">
        <f>"780022927"</f>
        <v>780022927</v>
      </c>
    </row>
    <row r="1852" spans="1:21" x14ac:dyDescent="0.3">
      <c r="A1852" t="str">
        <f>"400013926"</f>
        <v>400013926</v>
      </c>
      <c r="B1852" t="str">
        <f>"390 749 547 00142"</f>
        <v>390 749 547 00142</v>
      </c>
      <c r="D1852" t="str">
        <f>"UNITE MOBILE DE SOINS DENTAIRE"</f>
        <v>UNITE MOBILE DE SOINS DENTAIRE</v>
      </c>
      <c r="F1852" t="str">
        <f>"14 RUE DU IV SEPTEMBRE"</f>
        <v>14 RUE DU IV SEPTEMBRE</v>
      </c>
      <c r="H1852" t="str">
        <f>"40000"</f>
        <v>40000</v>
      </c>
      <c r="I1852" t="str">
        <f>"MONT DE MARSAN"</f>
        <v>MONT DE MARSAN</v>
      </c>
      <c r="J1852" t="str">
        <f>"05 58 85 88 80 "</f>
        <v xml:space="preserve">05 58 85 88 80 </v>
      </c>
      <c r="L1852" s="1">
        <v>42079</v>
      </c>
      <c r="M1852" t="str">
        <f t="shared" si="311"/>
        <v>124</v>
      </c>
      <c r="N1852" t="str">
        <f t="shared" si="312"/>
        <v>Centre de Santé</v>
      </c>
      <c r="O1852" t="str">
        <f>"47"</f>
        <v>47</v>
      </c>
      <c r="P1852" t="str">
        <f>"Société Mutualiste"</f>
        <v>Société Mutualiste</v>
      </c>
      <c r="Q1852" t="str">
        <f t="shared" si="315"/>
        <v>36</v>
      </c>
      <c r="R1852" t="str">
        <f t="shared" si="316"/>
        <v>Tarifs conventionnels assurance maladie</v>
      </c>
      <c r="U1852" t="str">
        <f>"400011300"</f>
        <v>400011300</v>
      </c>
    </row>
    <row r="1853" spans="1:21" x14ac:dyDescent="0.3">
      <c r="A1853" t="str">
        <f>"970212700"</f>
        <v>970212700</v>
      </c>
      <c r="B1853" t="str">
        <f>"313 944 159 00018"</f>
        <v>313 944 159 00018</v>
      </c>
      <c r="D1853" t="str">
        <f>"CENTRE DE SANTE NORD CARAIBE"</f>
        <v>CENTRE DE SANTE NORD CARAIBE</v>
      </c>
      <c r="F1853" t="str">
        <f>"1 RUE DE LA BANQUE"</f>
        <v>1 RUE DE LA BANQUE</v>
      </c>
      <c r="H1853" t="str">
        <f>"97250"</f>
        <v>97250</v>
      </c>
      <c r="I1853" t="str">
        <f>"ST PIERRE"</f>
        <v>ST PIERRE</v>
      </c>
      <c r="J1853" t="str">
        <f>"05 96 65 11 78 "</f>
        <v xml:space="preserve">05 96 65 11 78 </v>
      </c>
      <c r="K1853" t="str">
        <f>"05 96 65 10 66"</f>
        <v>05 96 65 10 66</v>
      </c>
      <c r="L1853" s="1">
        <v>42079</v>
      </c>
      <c r="M1853" t="str">
        <f t="shared" si="311"/>
        <v>124</v>
      </c>
      <c r="N1853" t="str">
        <f t="shared" si="312"/>
        <v>Centre de Santé</v>
      </c>
      <c r="O1853" t="str">
        <f t="shared" ref="O1853:O1858" si="317">"60"</f>
        <v>60</v>
      </c>
      <c r="P1853" t="str">
        <f t="shared" ref="P1853:P1858" si="318">"Association Loi 1901 non Reconnue d'Utilité Publique"</f>
        <v>Association Loi 1901 non Reconnue d'Utilité Publique</v>
      </c>
      <c r="Q1853" t="str">
        <f t="shared" si="315"/>
        <v>36</v>
      </c>
      <c r="R1853" t="str">
        <f t="shared" si="316"/>
        <v>Tarifs conventionnels assurance maladie</v>
      </c>
      <c r="U1853" t="str">
        <f>"970206272"</f>
        <v>970206272</v>
      </c>
    </row>
    <row r="1854" spans="1:21" x14ac:dyDescent="0.3">
      <c r="A1854" t="str">
        <f>"930026083"</f>
        <v>930026083</v>
      </c>
      <c r="B1854" t="str">
        <f>"809 399 561 00012"</f>
        <v>809 399 561 00012</v>
      </c>
      <c r="D1854" t="str">
        <f>"CDS DENTAIRE SAINT DENIS BASILIQUE"</f>
        <v>CDS DENTAIRE SAINT DENIS BASILIQUE</v>
      </c>
      <c r="F1854" t="str">
        <f>"14 PASSAGE DE L AQUEDUC"</f>
        <v>14 PASSAGE DE L AQUEDUC</v>
      </c>
      <c r="H1854" t="str">
        <f>"93200"</f>
        <v>93200</v>
      </c>
      <c r="I1854" t="str">
        <f>"ST DENIS"</f>
        <v>ST DENIS</v>
      </c>
      <c r="J1854" t="str">
        <f>"01 73 30 55 55 "</f>
        <v xml:space="preserve">01 73 30 55 55 </v>
      </c>
      <c r="K1854" t="str">
        <f>"01 73 30 55 56"</f>
        <v>01 73 30 55 56</v>
      </c>
      <c r="L1854" s="1">
        <v>42072</v>
      </c>
      <c r="M1854" t="str">
        <f t="shared" si="311"/>
        <v>124</v>
      </c>
      <c r="N1854" t="str">
        <f t="shared" si="312"/>
        <v>Centre de Santé</v>
      </c>
      <c r="O1854" t="str">
        <f t="shared" si="317"/>
        <v>60</v>
      </c>
      <c r="P1854" t="str">
        <f t="shared" si="318"/>
        <v>Association Loi 1901 non Reconnue d'Utilité Publique</v>
      </c>
      <c r="Q1854" t="str">
        <f t="shared" si="315"/>
        <v>36</v>
      </c>
      <c r="R1854" t="str">
        <f t="shared" si="316"/>
        <v>Tarifs conventionnels assurance maladie</v>
      </c>
      <c r="U1854" t="str">
        <f>"930026075"</f>
        <v>930026075</v>
      </c>
    </row>
    <row r="1855" spans="1:21" x14ac:dyDescent="0.3">
      <c r="A1855" t="str">
        <f>"930026067"</f>
        <v>930026067</v>
      </c>
      <c r="D1855" t="str">
        <f>"CDS DENTAIRE DE DRANCY"</f>
        <v>CDS DENTAIRE DE DRANCY</v>
      </c>
      <c r="E1855" t="str">
        <f>"17-19"</f>
        <v>17-19</v>
      </c>
      <c r="F1855" t="str">
        <f>"17 AVENUE HENRI BARBUSSE"</f>
        <v>17 AVENUE HENRI BARBUSSE</v>
      </c>
      <c r="H1855" t="str">
        <f>"93700"</f>
        <v>93700</v>
      </c>
      <c r="I1855" t="str">
        <f>"DRANCY"</f>
        <v>DRANCY</v>
      </c>
      <c r="J1855" t="str">
        <f>"01 48 67 96 72 "</f>
        <v xml:space="preserve">01 48 67 96 72 </v>
      </c>
      <c r="K1855" t="str">
        <f>"01 48 67 42 71"</f>
        <v>01 48 67 42 71</v>
      </c>
      <c r="L1855" s="1">
        <v>42069</v>
      </c>
      <c r="M1855" t="str">
        <f t="shared" si="311"/>
        <v>124</v>
      </c>
      <c r="N1855" t="str">
        <f t="shared" si="312"/>
        <v>Centre de Santé</v>
      </c>
      <c r="O1855" t="str">
        <f t="shared" si="317"/>
        <v>60</v>
      </c>
      <c r="P1855" t="str">
        <f t="shared" si="318"/>
        <v>Association Loi 1901 non Reconnue d'Utilité Publique</v>
      </c>
      <c r="Q1855" t="str">
        <f t="shared" si="315"/>
        <v>36</v>
      </c>
      <c r="R1855" t="str">
        <f t="shared" si="316"/>
        <v>Tarifs conventionnels assurance maladie</v>
      </c>
      <c r="U1855" t="str">
        <f>"930016969"</f>
        <v>930016969</v>
      </c>
    </row>
    <row r="1856" spans="1:21" x14ac:dyDescent="0.3">
      <c r="A1856" t="str">
        <f>"780022935"</f>
        <v>780022935</v>
      </c>
      <c r="D1856" t="str">
        <f>"CDS DENTIFREE"</f>
        <v>CDS DENTIFREE</v>
      </c>
      <c r="F1856" t="str">
        <f>"2 ESPLANADE DU GRAND SIECLE"</f>
        <v>2 ESPLANADE DU GRAND SIECLE</v>
      </c>
      <c r="H1856" t="str">
        <f>"78000"</f>
        <v>78000</v>
      </c>
      <c r="I1856" t="str">
        <f>"VERSAILLES"</f>
        <v>VERSAILLES</v>
      </c>
      <c r="J1856" t="str">
        <f>"01 39 55 43 54 "</f>
        <v xml:space="preserve">01 39 55 43 54 </v>
      </c>
      <c r="K1856" t="str">
        <f>"09 58 57 07 16"</f>
        <v>09 58 57 07 16</v>
      </c>
      <c r="L1856" s="1">
        <v>42068</v>
      </c>
      <c r="M1856" t="str">
        <f t="shared" si="311"/>
        <v>124</v>
      </c>
      <c r="N1856" t="str">
        <f t="shared" si="312"/>
        <v>Centre de Santé</v>
      </c>
      <c r="O1856" t="str">
        <f t="shared" si="317"/>
        <v>60</v>
      </c>
      <c r="P1856" t="str">
        <f t="shared" si="318"/>
        <v>Association Loi 1901 non Reconnue d'Utilité Publique</v>
      </c>
      <c r="Q1856" t="str">
        <f t="shared" si="315"/>
        <v>36</v>
      </c>
      <c r="R1856" t="str">
        <f t="shared" si="316"/>
        <v>Tarifs conventionnels assurance maladie</v>
      </c>
      <c r="U1856" t="str">
        <f>"780022927"</f>
        <v>780022927</v>
      </c>
    </row>
    <row r="1857" spans="1:21" x14ac:dyDescent="0.3">
      <c r="A1857" t="str">
        <f>"750057127"</f>
        <v>750057127</v>
      </c>
      <c r="D1857" t="str">
        <f>"CDS AST MEDICO DENTAIRE"</f>
        <v>CDS AST MEDICO DENTAIRE</v>
      </c>
      <c r="F1857" t="str">
        <f>"49 BOULEVARD BARBES"</f>
        <v>49 BOULEVARD BARBES</v>
      </c>
      <c r="H1857" t="str">
        <f>"75018"</f>
        <v>75018</v>
      </c>
      <c r="I1857" t="str">
        <f>"PARIS"</f>
        <v>PARIS</v>
      </c>
      <c r="J1857" t="str">
        <f>"01 81 80 60 10 "</f>
        <v xml:space="preserve">01 81 80 60 10 </v>
      </c>
      <c r="L1857" s="1">
        <v>42065</v>
      </c>
      <c r="M1857" t="str">
        <f t="shared" si="311"/>
        <v>124</v>
      </c>
      <c r="N1857" t="str">
        <f t="shared" si="312"/>
        <v>Centre de Santé</v>
      </c>
      <c r="O1857" t="str">
        <f t="shared" si="317"/>
        <v>60</v>
      </c>
      <c r="P1857" t="str">
        <f t="shared" si="318"/>
        <v>Association Loi 1901 non Reconnue d'Utilité Publique</v>
      </c>
      <c r="Q1857" t="str">
        <f t="shared" si="315"/>
        <v>36</v>
      </c>
      <c r="R1857" t="str">
        <f t="shared" si="316"/>
        <v>Tarifs conventionnels assurance maladie</v>
      </c>
      <c r="U1857" t="str">
        <f>"750057119"</f>
        <v>750057119</v>
      </c>
    </row>
    <row r="1858" spans="1:21" x14ac:dyDescent="0.3">
      <c r="A1858" t="str">
        <f>"930026034"</f>
        <v>930026034</v>
      </c>
      <c r="B1858" t="str">
        <f>"799 511 472 00018"</f>
        <v>799 511 472 00018</v>
      </c>
      <c r="D1858" t="str">
        <f>"CDS CLICHOIS"</f>
        <v>CDS CLICHOIS</v>
      </c>
      <c r="F1858" t="str">
        <f>"63 AVENUE DE SEVIGNE"</f>
        <v>63 AVENUE DE SEVIGNE</v>
      </c>
      <c r="H1858" t="str">
        <f>"93390"</f>
        <v>93390</v>
      </c>
      <c r="I1858" t="str">
        <f>"CLICHY SOUS BOIS"</f>
        <v>CLICHY SOUS BOIS</v>
      </c>
      <c r="J1858" t="str">
        <f>"01 43 30 75 30 "</f>
        <v xml:space="preserve">01 43 30 75 30 </v>
      </c>
      <c r="L1858" s="1">
        <v>42058</v>
      </c>
      <c r="M1858" t="str">
        <f t="shared" ref="M1858:M1921" si="319">"124"</f>
        <v>124</v>
      </c>
      <c r="N1858" t="str">
        <f t="shared" ref="N1858:N1921" si="320">"Centre de Santé"</f>
        <v>Centre de Santé</v>
      </c>
      <c r="O1858" t="str">
        <f t="shared" si="317"/>
        <v>60</v>
      </c>
      <c r="P1858" t="str">
        <f t="shared" si="318"/>
        <v>Association Loi 1901 non Reconnue d'Utilité Publique</v>
      </c>
      <c r="Q1858" t="str">
        <f t="shared" si="315"/>
        <v>36</v>
      </c>
      <c r="R1858" t="str">
        <f t="shared" si="316"/>
        <v>Tarifs conventionnels assurance maladie</v>
      </c>
      <c r="U1858" t="str">
        <f>"750057077"</f>
        <v>750057077</v>
      </c>
    </row>
    <row r="1859" spans="1:21" x14ac:dyDescent="0.3">
      <c r="A1859" t="str">
        <f>"920029360"</f>
        <v>920029360</v>
      </c>
      <c r="B1859" t="str">
        <f>"219 200 243 00018"</f>
        <v>219 200 243 00018</v>
      </c>
      <c r="D1859" t="str">
        <f>"CDS HOPITAL GOUIN ANNEXE"</f>
        <v>CDS HOPITAL GOUIN ANNEXE</v>
      </c>
      <c r="F1859" t="str">
        <f>"2 RUE GASTON PAYMAL"</f>
        <v>2 RUE GASTON PAYMAL</v>
      </c>
      <c r="H1859" t="str">
        <f>"92110"</f>
        <v>92110</v>
      </c>
      <c r="I1859" t="str">
        <f>"CLICHY"</f>
        <v>CLICHY</v>
      </c>
      <c r="J1859" t="str">
        <f>"01 41 06 81 00 "</f>
        <v xml:space="preserve">01 41 06 81 00 </v>
      </c>
      <c r="L1859" s="1">
        <v>42053</v>
      </c>
      <c r="M1859" t="str">
        <f t="shared" si="319"/>
        <v>124</v>
      </c>
      <c r="N1859" t="str">
        <f t="shared" si="320"/>
        <v>Centre de Santé</v>
      </c>
      <c r="O1859" t="str">
        <f>"03"</f>
        <v>03</v>
      </c>
      <c r="P1859" t="str">
        <f>"Commune"</f>
        <v>Commune</v>
      </c>
      <c r="Q1859" t="str">
        <f t="shared" si="315"/>
        <v>36</v>
      </c>
      <c r="R1859" t="str">
        <f t="shared" si="316"/>
        <v>Tarifs conventionnels assurance maladie</v>
      </c>
      <c r="U1859" t="str">
        <f>"920807641"</f>
        <v>920807641</v>
      </c>
    </row>
    <row r="1860" spans="1:21" x14ac:dyDescent="0.3">
      <c r="A1860" t="str">
        <f>"750057093"</f>
        <v>750057093</v>
      </c>
      <c r="D1860" t="str">
        <f>"CDS DENTAIRE PARIS GARE DU NORD"</f>
        <v>CDS DENTAIRE PARIS GARE DU NORD</v>
      </c>
      <c r="F1860" t="str">
        <f>"10 RUE DE VALENCIENNE"</f>
        <v>10 RUE DE VALENCIENNE</v>
      </c>
      <c r="H1860" t="str">
        <f>"75010"</f>
        <v>75010</v>
      </c>
      <c r="I1860" t="str">
        <f>"PARIS"</f>
        <v>PARIS</v>
      </c>
      <c r="J1860" t="str">
        <f>"01 85 73 03 03 "</f>
        <v xml:space="preserve">01 85 73 03 03 </v>
      </c>
      <c r="K1860" t="str">
        <f>"01 85 73 03 04"</f>
        <v>01 85 73 03 04</v>
      </c>
      <c r="L1860" s="1">
        <v>42052</v>
      </c>
      <c r="M1860" t="str">
        <f t="shared" si="319"/>
        <v>124</v>
      </c>
      <c r="N1860" t="str">
        <f t="shared" si="320"/>
        <v>Centre de Santé</v>
      </c>
      <c r="O1860" t="str">
        <f>"60"</f>
        <v>60</v>
      </c>
      <c r="P1860" t="str">
        <f>"Association Loi 1901 non Reconnue d'Utilité Publique"</f>
        <v>Association Loi 1901 non Reconnue d'Utilité Publique</v>
      </c>
      <c r="Q1860" t="str">
        <f t="shared" si="315"/>
        <v>36</v>
      </c>
      <c r="R1860" t="str">
        <f t="shared" si="316"/>
        <v>Tarifs conventionnels assurance maladie</v>
      </c>
      <c r="U1860" t="str">
        <f>"750061525"</f>
        <v>750061525</v>
      </c>
    </row>
    <row r="1861" spans="1:21" x14ac:dyDescent="0.3">
      <c r="A1861" t="str">
        <f>"940022411"</f>
        <v>940022411</v>
      </c>
      <c r="D1861" t="str">
        <f>"CDS DENTAIRE DE FRANCE"</f>
        <v>CDS DENTAIRE DE FRANCE</v>
      </c>
      <c r="F1861" t="str">
        <f>"5 AVENUE DU GENERAL LECLERC"</f>
        <v>5 AVENUE DU GENERAL LECLERC</v>
      </c>
      <c r="H1861" t="str">
        <f>"94470"</f>
        <v>94470</v>
      </c>
      <c r="I1861" t="str">
        <f>"BOISSY ST LEGER"</f>
        <v>BOISSY ST LEGER</v>
      </c>
      <c r="J1861" t="str">
        <f>"01 45 10 02 33 "</f>
        <v xml:space="preserve">01 45 10 02 33 </v>
      </c>
      <c r="L1861" s="1">
        <v>42051</v>
      </c>
      <c r="M1861" t="str">
        <f t="shared" si="319"/>
        <v>124</v>
      </c>
      <c r="N1861" t="str">
        <f t="shared" si="320"/>
        <v>Centre de Santé</v>
      </c>
      <c r="O1861" t="str">
        <f>"60"</f>
        <v>60</v>
      </c>
      <c r="P1861" t="str">
        <f>"Association Loi 1901 non Reconnue d'Utilité Publique"</f>
        <v>Association Loi 1901 non Reconnue d'Utilité Publique</v>
      </c>
      <c r="Q1861" t="str">
        <f t="shared" si="315"/>
        <v>36</v>
      </c>
      <c r="R1861" t="str">
        <f t="shared" si="316"/>
        <v>Tarifs conventionnels assurance maladie</v>
      </c>
      <c r="U1861" t="str">
        <f>"940022403"</f>
        <v>940022403</v>
      </c>
    </row>
    <row r="1862" spans="1:21" x14ac:dyDescent="0.3">
      <c r="A1862" t="str">
        <f>"690040928"</f>
        <v>690040928</v>
      </c>
      <c r="B1862" t="str">
        <f>"775 761 844 00858"</f>
        <v>775 761 844 00858</v>
      </c>
      <c r="D1862" t="str">
        <f>"CENTRE DE SANTE OXANCE LYON 9EME"</f>
        <v>CENTRE DE SANTE OXANCE LYON 9EME</v>
      </c>
      <c r="F1862" t="str">
        <f>"5 PLACE ABBE PIERRE"</f>
        <v>5 PLACE ABBE PIERRE</v>
      </c>
      <c r="H1862" t="str">
        <f>"69009"</f>
        <v>69009</v>
      </c>
      <c r="I1862" t="str">
        <f>"LYON"</f>
        <v>LYON</v>
      </c>
      <c r="J1862" t="str">
        <f>"06 25 11 90 43 "</f>
        <v xml:space="preserve">06 25 11 90 43 </v>
      </c>
      <c r="L1862" s="1">
        <v>42036</v>
      </c>
      <c r="M1862" t="str">
        <f t="shared" si="319"/>
        <v>124</v>
      </c>
      <c r="N1862" t="str">
        <f t="shared" si="320"/>
        <v>Centre de Santé</v>
      </c>
      <c r="O1862" t="str">
        <f>"47"</f>
        <v>47</v>
      </c>
      <c r="P1862" t="str">
        <f>"Société Mutualiste"</f>
        <v>Société Mutualiste</v>
      </c>
      <c r="Q1862" t="str">
        <f t="shared" si="315"/>
        <v>36</v>
      </c>
      <c r="R1862" t="str">
        <f t="shared" si="316"/>
        <v>Tarifs conventionnels assurance maladie</v>
      </c>
      <c r="U1862" t="str">
        <f>"690048111"</f>
        <v>690048111</v>
      </c>
    </row>
    <row r="1863" spans="1:21" x14ac:dyDescent="0.3">
      <c r="A1863" t="str">
        <f>"590057600"</f>
        <v>590057600</v>
      </c>
      <c r="B1863" t="str">
        <f>"195 932 793 00019"</f>
        <v>195 932 793 00019</v>
      </c>
      <c r="D1863" t="str">
        <f>"CSP UNIVERSITÉ POLYTECHNIQUE HDF"</f>
        <v>CSP UNIVERSITÉ POLYTECHNIQUE HDF</v>
      </c>
      <c r="F1863" t="str">
        <f>"CAMPUS LE MONT HOUY"</f>
        <v>CAMPUS LE MONT HOUY</v>
      </c>
      <c r="H1863" t="str">
        <f>"59311"</f>
        <v>59311</v>
      </c>
      <c r="I1863" t="str">
        <f>"VALENCIENNES CEDEX 9"</f>
        <v>VALENCIENNES CEDEX 9</v>
      </c>
      <c r="J1863" t="str">
        <f>"03 27 51 10 45 "</f>
        <v xml:space="preserve">03 27 51 10 45 </v>
      </c>
      <c r="L1863" s="1">
        <v>42019</v>
      </c>
      <c r="M1863" t="str">
        <f t="shared" si="319"/>
        <v>124</v>
      </c>
      <c r="N1863" t="str">
        <f t="shared" si="320"/>
        <v>Centre de Santé</v>
      </c>
      <c r="O1863" t="str">
        <f>"60"</f>
        <v>60</v>
      </c>
      <c r="P1863" t="str">
        <f>"Association Loi 1901 non Reconnue d'Utilité Publique"</f>
        <v>Association Loi 1901 non Reconnue d'Utilité Publique</v>
      </c>
      <c r="Q1863" t="str">
        <f t="shared" si="315"/>
        <v>36</v>
      </c>
      <c r="R1863" t="str">
        <f t="shared" si="316"/>
        <v>Tarifs conventionnels assurance maladie</v>
      </c>
      <c r="U1863" t="str">
        <f>"590057592"</f>
        <v>590057592</v>
      </c>
    </row>
    <row r="1864" spans="1:21" x14ac:dyDescent="0.3">
      <c r="A1864" t="str">
        <f>"940022346"</f>
        <v>940022346</v>
      </c>
      <c r="B1864" t="str">
        <f>"879 494 235 00010"</f>
        <v>879 494 235 00010</v>
      </c>
      <c r="D1864" t="str">
        <f>"CDS STADE DOREE"</f>
        <v>CDS STADE DOREE</v>
      </c>
      <c r="F1864" t="str">
        <f>"147 AVENUE DU GENERAL LECLERC"</f>
        <v>147 AVENUE DU GENERAL LECLERC</v>
      </c>
      <c r="H1864" t="str">
        <f>"94700"</f>
        <v>94700</v>
      </c>
      <c r="I1864" t="str">
        <f>"MAISONS ALFORT"</f>
        <v>MAISONS ALFORT</v>
      </c>
      <c r="J1864" t="str">
        <f>"01 45 18 37 37 "</f>
        <v xml:space="preserve">01 45 18 37 37 </v>
      </c>
      <c r="K1864" t="str">
        <f>"01 45 18 37 39"</f>
        <v>01 45 18 37 39</v>
      </c>
      <c r="L1864" s="1">
        <v>42009</v>
      </c>
      <c r="M1864" t="str">
        <f t="shared" si="319"/>
        <v>124</v>
      </c>
      <c r="N1864" t="str">
        <f t="shared" si="320"/>
        <v>Centre de Santé</v>
      </c>
      <c r="O1864" t="str">
        <f>"60"</f>
        <v>60</v>
      </c>
      <c r="P1864" t="str">
        <f>"Association Loi 1901 non Reconnue d'Utilité Publique"</f>
        <v>Association Loi 1901 non Reconnue d'Utilité Publique</v>
      </c>
      <c r="Q1864" t="str">
        <f t="shared" si="315"/>
        <v>36</v>
      </c>
      <c r="R1864" t="str">
        <f t="shared" si="316"/>
        <v>Tarifs conventionnels assurance maladie</v>
      </c>
      <c r="U1864" t="str">
        <f>"940026149"</f>
        <v>940026149</v>
      </c>
    </row>
    <row r="1865" spans="1:21" x14ac:dyDescent="0.3">
      <c r="A1865" t="str">
        <f>"260015235"</f>
        <v>260015235</v>
      </c>
      <c r="B1865" t="str">
        <f>"308 529 528 00058"</f>
        <v>308 529 528 00058</v>
      </c>
      <c r="D1865" t="str">
        <f>"CENTRE DE SANTE BOURG-LES-VALENCE"</f>
        <v>CENTRE DE SANTE BOURG-LES-VALENCE</v>
      </c>
      <c r="F1865" t="str">
        <f>"1 RUE LOUIS A. DE BOUGAINVILLE"</f>
        <v>1 RUE LOUIS A. DE BOUGAINVILLE</v>
      </c>
      <c r="H1865" t="str">
        <f>"26500"</f>
        <v>26500</v>
      </c>
      <c r="I1865" t="str">
        <f>"BOURG LES VALENCE"</f>
        <v>BOURG LES VALENCE</v>
      </c>
      <c r="J1865" t="str">
        <f>"04 75 42 30 35 "</f>
        <v xml:space="preserve">04 75 42 30 35 </v>
      </c>
      <c r="K1865" t="str">
        <f>"04 75 42 25 12"</f>
        <v>04 75 42 25 12</v>
      </c>
      <c r="L1865" s="1">
        <v>42005</v>
      </c>
      <c r="M1865" t="str">
        <f t="shared" si="319"/>
        <v>124</v>
      </c>
      <c r="N1865" t="str">
        <f t="shared" si="320"/>
        <v>Centre de Santé</v>
      </c>
      <c r="O1865" t="str">
        <f>"60"</f>
        <v>60</v>
      </c>
      <c r="P1865" t="str">
        <f>"Association Loi 1901 non Reconnue d'Utilité Publique"</f>
        <v>Association Loi 1901 non Reconnue d'Utilité Publique</v>
      </c>
      <c r="Q1865" t="str">
        <f t="shared" si="315"/>
        <v>36</v>
      </c>
      <c r="R1865" t="str">
        <f t="shared" si="316"/>
        <v>Tarifs conventionnels assurance maladie</v>
      </c>
      <c r="U1865" t="str">
        <f>"260011143"</f>
        <v>260011143</v>
      </c>
    </row>
    <row r="1866" spans="1:21" x14ac:dyDescent="0.3">
      <c r="A1866" t="str">
        <f>"340021922"</f>
        <v>340021922</v>
      </c>
      <c r="B1866" t="str">
        <f>"789 714 078 00035"</f>
        <v>789 714 078 00035</v>
      </c>
      <c r="D1866" t="str">
        <f>"CDS DENTAIRE DENTALVIE CASTELNAU LEZ"</f>
        <v>CDS DENTAIRE DENTALVIE CASTELNAU LEZ</v>
      </c>
      <c r="F1866" t="str">
        <f>"750 AVENUE DE L EUROPE"</f>
        <v>750 AVENUE DE L EUROPE</v>
      </c>
      <c r="H1866" t="str">
        <f>"34170"</f>
        <v>34170</v>
      </c>
      <c r="I1866" t="str">
        <f>"CASTELNAU LE LEZ"</f>
        <v>CASTELNAU LE LEZ</v>
      </c>
      <c r="J1866" t="str">
        <f>"04 67 02 27 37 "</f>
        <v xml:space="preserve">04 67 02 27 37 </v>
      </c>
      <c r="L1866" s="1">
        <v>42005</v>
      </c>
      <c r="M1866" t="str">
        <f t="shared" si="319"/>
        <v>124</v>
      </c>
      <c r="N1866" t="str">
        <f t="shared" si="320"/>
        <v>Centre de Santé</v>
      </c>
      <c r="O1866" t="str">
        <f>"60"</f>
        <v>60</v>
      </c>
      <c r="P1866" t="str">
        <f>"Association Loi 1901 non Reconnue d'Utilité Publique"</f>
        <v>Association Loi 1901 non Reconnue d'Utilité Publique</v>
      </c>
      <c r="Q1866" t="str">
        <f t="shared" si="315"/>
        <v>36</v>
      </c>
      <c r="R1866" t="str">
        <f t="shared" si="316"/>
        <v>Tarifs conventionnels assurance maladie</v>
      </c>
      <c r="U1866" t="str">
        <f>"660009119"</f>
        <v>660009119</v>
      </c>
    </row>
    <row r="1867" spans="1:21" x14ac:dyDescent="0.3">
      <c r="A1867" t="str">
        <f>"130044456"</f>
        <v>130044456</v>
      </c>
      <c r="B1867" t="str">
        <f>"805 127 123 00018"</f>
        <v>805 127 123 00018</v>
      </c>
      <c r="D1867" t="str">
        <f>"CDS DENTAIRE DENTAL CENTER"</f>
        <v>CDS DENTAIRE DENTAL CENTER</v>
      </c>
      <c r="F1867" t="str">
        <f>"263 BOULEVARD ROMAIN ROLLAND"</f>
        <v>263 BOULEVARD ROMAIN ROLLAND</v>
      </c>
      <c r="H1867" t="str">
        <f>"13009"</f>
        <v>13009</v>
      </c>
      <c r="I1867" t="str">
        <f>"MARSEILLE"</f>
        <v>MARSEILLE</v>
      </c>
      <c r="J1867" t="str">
        <f>"06 19 30 21 74 "</f>
        <v xml:space="preserve">06 19 30 21 74 </v>
      </c>
      <c r="L1867" s="1">
        <v>41985</v>
      </c>
      <c r="M1867" t="str">
        <f t="shared" si="319"/>
        <v>124</v>
      </c>
      <c r="N1867" t="str">
        <f t="shared" si="320"/>
        <v>Centre de Santé</v>
      </c>
      <c r="O1867" t="str">
        <f>"60"</f>
        <v>60</v>
      </c>
      <c r="P1867" t="str">
        <f>"Association Loi 1901 non Reconnue d'Utilité Publique"</f>
        <v>Association Loi 1901 non Reconnue d'Utilité Publique</v>
      </c>
      <c r="Q1867" t="str">
        <f t="shared" si="315"/>
        <v>36</v>
      </c>
      <c r="R1867" t="str">
        <f t="shared" si="316"/>
        <v>Tarifs conventionnels assurance maladie</v>
      </c>
      <c r="U1867" t="str">
        <f>"130044449"</f>
        <v>130044449</v>
      </c>
    </row>
    <row r="1868" spans="1:21" x14ac:dyDescent="0.3">
      <c r="A1868" t="str">
        <f>"400013876"</f>
        <v>400013876</v>
      </c>
      <c r="B1868" t="str">
        <f>"390 749 547 00118"</f>
        <v>390 749 547 00118</v>
      </c>
      <c r="D1868" t="str">
        <f>"CENTRE DE SANTE DENTAIRE MUTUALISTE"</f>
        <v>CENTRE DE SANTE DENTAIRE MUTUALISTE</v>
      </c>
      <c r="E1868" t="str">
        <f>"CLINIQUE DES LANDES"</f>
        <v>CLINIQUE DES LANDES</v>
      </c>
      <c r="F1868" t="str">
        <f>"250 RUE FREDERIC JOLIOT-CURIE"</f>
        <v>250 RUE FREDERIC JOLIOT-CURIE</v>
      </c>
      <c r="H1868" t="str">
        <f>"40280"</f>
        <v>40280</v>
      </c>
      <c r="I1868" t="str">
        <f>"ST PIERRE DU MONT"</f>
        <v>ST PIERRE DU MONT</v>
      </c>
      <c r="J1868" t="str">
        <f>"05 58 85 88 88 "</f>
        <v xml:space="preserve">05 58 85 88 88 </v>
      </c>
      <c r="L1868" s="1">
        <v>41960</v>
      </c>
      <c r="M1868" t="str">
        <f t="shared" si="319"/>
        <v>124</v>
      </c>
      <c r="N1868" t="str">
        <f t="shared" si="320"/>
        <v>Centre de Santé</v>
      </c>
      <c r="O1868" t="str">
        <f>"47"</f>
        <v>47</v>
      </c>
      <c r="P1868" t="str">
        <f>"Société Mutualiste"</f>
        <v>Société Mutualiste</v>
      </c>
      <c r="Q1868" t="str">
        <f t="shared" si="315"/>
        <v>36</v>
      </c>
      <c r="R1868" t="str">
        <f t="shared" si="316"/>
        <v>Tarifs conventionnels assurance maladie</v>
      </c>
      <c r="U1868" t="str">
        <f>"400011300"</f>
        <v>400011300</v>
      </c>
    </row>
    <row r="1869" spans="1:21" x14ac:dyDescent="0.3">
      <c r="A1869" t="str">
        <f>"370013328"</f>
        <v>370013328</v>
      </c>
      <c r="B1869" t="str">
        <f>"805 329 554 00010"</f>
        <v>805 329 554 00010</v>
      </c>
      <c r="D1869" t="str">
        <f>"CENTRE DE SANTE DENTAIRE BLAISE PASCAL"</f>
        <v>CENTRE DE SANTE DENTAIRE BLAISE PASCAL</v>
      </c>
      <c r="F1869" t="str">
        <f>"60 RUE BLAISE PASCAL"</f>
        <v>60 RUE BLAISE PASCAL</v>
      </c>
      <c r="H1869" t="str">
        <f>"37000"</f>
        <v>37000</v>
      </c>
      <c r="I1869" t="str">
        <f>"TOURS"</f>
        <v>TOURS</v>
      </c>
      <c r="J1869" t="str">
        <f>"02 54 00 16 73 "</f>
        <v xml:space="preserve">02 54 00 16 73 </v>
      </c>
      <c r="L1869" s="1">
        <v>41953</v>
      </c>
      <c r="M1869" t="str">
        <f t="shared" si="319"/>
        <v>124</v>
      </c>
      <c r="N1869" t="str">
        <f t="shared" si="320"/>
        <v>Centre de Santé</v>
      </c>
      <c r="O1869" t="str">
        <f>"61"</f>
        <v>61</v>
      </c>
      <c r="P1869" t="str">
        <f>"Association Loi 1901 Reconnue d'Utilité Publique"</f>
        <v>Association Loi 1901 Reconnue d'Utilité Publique</v>
      </c>
      <c r="Q1869" t="str">
        <f t="shared" si="315"/>
        <v>36</v>
      </c>
      <c r="R1869" t="str">
        <f t="shared" si="316"/>
        <v>Tarifs conventionnels assurance maladie</v>
      </c>
      <c r="U1869" t="str">
        <f>"370013310"</f>
        <v>370013310</v>
      </c>
    </row>
    <row r="1870" spans="1:21" x14ac:dyDescent="0.3">
      <c r="A1870" t="str">
        <f>"890009095"</f>
        <v>890009095</v>
      </c>
      <c r="B1870" t="str">
        <f>"218 904 431 00135"</f>
        <v>218 904 431 00135</v>
      </c>
      <c r="D1870" t="str">
        <f>"CENTRE MUNICIPAL DE SANTÉ"</f>
        <v>CENTRE MUNICIPAL DE SANTÉ</v>
      </c>
      <c r="F1870" t="str">
        <f>"12 AVENUE DE LA GARE"</f>
        <v>12 AVENUE DE LA GARE</v>
      </c>
      <c r="H1870" t="str">
        <f>"89510"</f>
        <v>89510</v>
      </c>
      <c r="I1870" t="str">
        <f>"VERON"</f>
        <v>VERON</v>
      </c>
      <c r="L1870" s="1">
        <v>41946</v>
      </c>
      <c r="M1870" t="str">
        <f t="shared" si="319"/>
        <v>124</v>
      </c>
      <c r="N1870" t="str">
        <f t="shared" si="320"/>
        <v>Centre de Santé</v>
      </c>
      <c r="O1870" t="str">
        <f>"03"</f>
        <v>03</v>
      </c>
      <c r="P1870" t="str">
        <f>"Commune"</f>
        <v>Commune</v>
      </c>
      <c r="Q1870" t="str">
        <f t="shared" si="315"/>
        <v>36</v>
      </c>
      <c r="R1870" t="str">
        <f t="shared" si="316"/>
        <v>Tarifs conventionnels assurance maladie</v>
      </c>
      <c r="U1870" t="str">
        <f>"890009087"</f>
        <v>890009087</v>
      </c>
    </row>
    <row r="1871" spans="1:21" x14ac:dyDescent="0.3">
      <c r="A1871" t="str">
        <f>"570017558"</f>
        <v>570017558</v>
      </c>
      <c r="B1871" t="str">
        <f>"775 685 316 03409"</f>
        <v>775 685 316 03409</v>
      </c>
      <c r="D1871" t="str">
        <f>"CSP FILIERIS DE HOMBOURG HAUT"</f>
        <v>CSP FILIERIS DE HOMBOURG HAUT</v>
      </c>
      <c r="F1871" t="str">
        <f>"115 RUE DES ROMAINS"</f>
        <v>115 RUE DES ROMAINS</v>
      </c>
      <c r="H1871" t="str">
        <f>"57470"</f>
        <v>57470</v>
      </c>
      <c r="I1871" t="str">
        <f>"HOMBOURG HAUT"</f>
        <v>HOMBOURG HAUT</v>
      </c>
      <c r="J1871" t="str">
        <f>"03 87 04 51 01 "</f>
        <v xml:space="preserve">03 87 04 51 01 </v>
      </c>
      <c r="L1871" s="1">
        <v>41918</v>
      </c>
      <c r="M1871" t="str">
        <f t="shared" si="319"/>
        <v>124</v>
      </c>
      <c r="N1871" t="str">
        <f t="shared" si="320"/>
        <v>Centre de Santé</v>
      </c>
      <c r="O1871" t="str">
        <f>"41"</f>
        <v>41</v>
      </c>
      <c r="P1871" t="str">
        <f>"Régime Spécial de Sécurité Sociale"</f>
        <v>Régime Spécial de Sécurité Sociale</v>
      </c>
      <c r="Q1871" t="str">
        <f t="shared" si="315"/>
        <v>36</v>
      </c>
      <c r="R1871" t="str">
        <f t="shared" si="316"/>
        <v>Tarifs conventionnels assurance maladie</v>
      </c>
      <c r="U1871" t="str">
        <f>"750050759"</f>
        <v>750050759</v>
      </c>
    </row>
    <row r="1872" spans="1:21" x14ac:dyDescent="0.3">
      <c r="A1872" t="str">
        <f>"260013438"</f>
        <v>260013438</v>
      </c>
      <c r="B1872" t="str">
        <f>"779 471 986 01007"</f>
        <v>779 471 986 01007</v>
      </c>
      <c r="D1872" t="str">
        <f>"CENTRE DE SANTE EOVI MONTELIMAR"</f>
        <v>CENTRE DE SANTE EOVI MONTELIMAR</v>
      </c>
      <c r="F1872" t="str">
        <f>"1 RUE PAUL LOUBET"</f>
        <v>1 RUE PAUL LOUBET</v>
      </c>
      <c r="H1872" t="str">
        <f>"26200"</f>
        <v>26200</v>
      </c>
      <c r="I1872" t="str">
        <f>"MONTELIMAR"</f>
        <v>MONTELIMAR</v>
      </c>
      <c r="J1872" t="str">
        <f>"04 75 80 12 72 "</f>
        <v xml:space="preserve">04 75 80 12 72 </v>
      </c>
      <c r="L1872" s="1">
        <v>41913</v>
      </c>
      <c r="M1872" t="str">
        <f t="shared" si="319"/>
        <v>124</v>
      </c>
      <c r="N1872" t="str">
        <f t="shared" si="320"/>
        <v>Centre de Santé</v>
      </c>
      <c r="O1872" t="str">
        <f>"47"</f>
        <v>47</v>
      </c>
      <c r="P1872" t="str">
        <f>"Société Mutualiste"</f>
        <v>Société Mutualiste</v>
      </c>
      <c r="Q1872" t="str">
        <f t="shared" si="315"/>
        <v>36</v>
      </c>
      <c r="R1872" t="str">
        <f t="shared" si="316"/>
        <v>Tarifs conventionnels assurance maladie</v>
      </c>
      <c r="U1872" t="str">
        <f>"260007018"</f>
        <v>260007018</v>
      </c>
    </row>
    <row r="1873" spans="1:21" x14ac:dyDescent="0.3">
      <c r="A1873" t="str">
        <f>"660009598"</f>
        <v>660009598</v>
      </c>
      <c r="B1873" t="str">
        <f>"196 604 375 00069"</f>
        <v>196 604 375 00069</v>
      </c>
      <c r="D1873" t="str">
        <f>"CDS MEDICAL UNIVERSITAIRE UPVD"</f>
        <v>CDS MEDICAL UNIVERSITAIRE UPVD</v>
      </c>
      <c r="F1873" t="str">
        <f>"52 AVENUE PAUL ALDUY"</f>
        <v>52 AVENUE PAUL ALDUY</v>
      </c>
      <c r="H1873" t="str">
        <f>"66860"</f>
        <v>66860</v>
      </c>
      <c r="I1873" t="str">
        <f>"PERPIGNAN CEDEX 9"</f>
        <v>PERPIGNAN CEDEX 9</v>
      </c>
      <c r="J1873" t="str">
        <f>"04 68 66 21 16 "</f>
        <v xml:space="preserve">04 68 66 21 16 </v>
      </c>
      <c r="K1873" t="str">
        <f>"04 30 19 23 36"</f>
        <v>04 30 19 23 36</v>
      </c>
      <c r="L1873" s="1">
        <v>41913</v>
      </c>
      <c r="M1873" t="str">
        <f t="shared" si="319"/>
        <v>124</v>
      </c>
      <c r="N1873" t="str">
        <f t="shared" si="320"/>
        <v>Centre de Santé</v>
      </c>
      <c r="O1873" t="str">
        <f>"26"</f>
        <v>26</v>
      </c>
      <c r="P1873" t="str">
        <f>"Autre Etablissement Public à Caractère Administratif"</f>
        <v>Autre Etablissement Public à Caractère Administratif</v>
      </c>
      <c r="Q1873" t="str">
        <f t="shared" si="315"/>
        <v>36</v>
      </c>
      <c r="R1873" t="str">
        <f t="shared" si="316"/>
        <v>Tarifs conventionnels assurance maladie</v>
      </c>
      <c r="U1873" t="str">
        <f>"660009580"</f>
        <v>660009580</v>
      </c>
    </row>
    <row r="1874" spans="1:21" x14ac:dyDescent="0.3">
      <c r="A1874" t="str">
        <f>"790019152"</f>
        <v>790019152</v>
      </c>
      <c r="B1874" t="str">
        <f>"781 343 231 00044"</f>
        <v>781 343 231 00044</v>
      </c>
      <c r="D1874" t="str">
        <f>"MELIORIS CENTRE DE SANTE LE GRAND FEU"</f>
        <v>MELIORIS CENTRE DE SANTE LE GRAND FEU</v>
      </c>
      <c r="F1874" t="str">
        <f>"74 RUE DE LA VERRERIE"</f>
        <v>74 RUE DE LA VERRERIE</v>
      </c>
      <c r="H1874" t="str">
        <f>"79000"</f>
        <v>79000</v>
      </c>
      <c r="I1874" t="str">
        <f>"NIORT"</f>
        <v>NIORT</v>
      </c>
      <c r="J1874" t="str">
        <f>"05 49 32 39 39 "</f>
        <v xml:space="preserve">05 49 32 39 39 </v>
      </c>
      <c r="L1874" s="1">
        <v>41899</v>
      </c>
      <c r="M1874" t="str">
        <f t="shared" si="319"/>
        <v>124</v>
      </c>
      <c r="N1874" t="str">
        <f t="shared" si="320"/>
        <v>Centre de Santé</v>
      </c>
      <c r="O1874" t="str">
        <f>"60"</f>
        <v>60</v>
      </c>
      <c r="P1874" t="str">
        <f>"Association Loi 1901 non Reconnue d'Utilité Publique"</f>
        <v>Association Loi 1901 non Reconnue d'Utilité Publique</v>
      </c>
      <c r="Q1874" t="str">
        <f t="shared" si="315"/>
        <v>36</v>
      </c>
      <c r="R1874" t="str">
        <f t="shared" si="316"/>
        <v>Tarifs conventionnels assurance maladie</v>
      </c>
      <c r="U1874" t="str">
        <f>"790002497"</f>
        <v>790002497</v>
      </c>
    </row>
    <row r="1875" spans="1:21" x14ac:dyDescent="0.3">
      <c r="A1875" t="str">
        <f>"330057258"</f>
        <v>330057258</v>
      </c>
      <c r="B1875" t="str">
        <f>"794 105 650 00046"</f>
        <v>794 105 650 00046</v>
      </c>
      <c r="D1875" t="str">
        <f>"CENTRE DE SANTE DENTAIRE DENTIFREE"</f>
        <v>CENTRE DE SANTE DENTAIRE DENTIFREE</v>
      </c>
      <c r="E1875" t="str">
        <f>"BIOPARC / BIOGALIEN - BAT. C"</f>
        <v>BIOPARC / BIOGALIEN - BAT. C</v>
      </c>
      <c r="F1875" t="str">
        <f>"27 ALLEE CHARLES DARWIN"</f>
        <v>27 ALLEE CHARLES DARWIN</v>
      </c>
      <c r="H1875" t="str">
        <f>"33600"</f>
        <v>33600</v>
      </c>
      <c r="I1875" t="str">
        <f>"PESSAC"</f>
        <v>PESSAC</v>
      </c>
      <c r="K1875" t="str">
        <f>"09 58 57 07 16"</f>
        <v>09 58 57 07 16</v>
      </c>
      <c r="L1875" s="1">
        <v>41890</v>
      </c>
      <c r="M1875" t="str">
        <f t="shared" si="319"/>
        <v>124</v>
      </c>
      <c r="N1875" t="str">
        <f t="shared" si="320"/>
        <v>Centre de Santé</v>
      </c>
      <c r="O1875" t="str">
        <f>"60"</f>
        <v>60</v>
      </c>
      <c r="P1875" t="str">
        <f>"Association Loi 1901 non Reconnue d'Utilité Publique"</f>
        <v>Association Loi 1901 non Reconnue d'Utilité Publique</v>
      </c>
      <c r="Q1875" t="str">
        <f t="shared" si="315"/>
        <v>36</v>
      </c>
      <c r="R1875" t="str">
        <f t="shared" si="316"/>
        <v>Tarifs conventionnels assurance maladie</v>
      </c>
      <c r="U1875" t="str">
        <f>"780022661"</f>
        <v>780022661</v>
      </c>
    </row>
    <row r="1876" spans="1:21" x14ac:dyDescent="0.3">
      <c r="A1876" t="str">
        <f>"750056384"</f>
        <v>750056384</v>
      </c>
      <c r="B1876" t="str">
        <f>"804 939 049 00016"</f>
        <v>804 939 049 00016</v>
      </c>
      <c r="D1876" t="str">
        <f>"CDS DENTAIRE DAUMESNIL"</f>
        <v>CDS DENTAIRE DAUMESNIL</v>
      </c>
      <c r="F1876" t="str">
        <f>"166 AVENUE DAUMESNIL"</f>
        <v>166 AVENUE DAUMESNIL</v>
      </c>
      <c r="H1876" t="str">
        <f>"75012"</f>
        <v>75012</v>
      </c>
      <c r="I1876" t="str">
        <f>"PARIS"</f>
        <v>PARIS</v>
      </c>
      <c r="J1876" t="str">
        <f>"01 82 83 83 23 "</f>
        <v xml:space="preserve">01 82 83 83 23 </v>
      </c>
      <c r="L1876" s="1">
        <v>41885</v>
      </c>
      <c r="M1876" t="str">
        <f t="shared" si="319"/>
        <v>124</v>
      </c>
      <c r="N1876" t="str">
        <f t="shared" si="320"/>
        <v>Centre de Santé</v>
      </c>
      <c r="O1876" t="str">
        <f>"60"</f>
        <v>60</v>
      </c>
      <c r="P1876" t="str">
        <f>"Association Loi 1901 non Reconnue d'Utilité Publique"</f>
        <v>Association Loi 1901 non Reconnue d'Utilité Publique</v>
      </c>
      <c r="Q1876" t="str">
        <f t="shared" si="315"/>
        <v>36</v>
      </c>
      <c r="R1876" t="str">
        <f t="shared" si="316"/>
        <v>Tarifs conventionnels assurance maladie</v>
      </c>
      <c r="U1876" t="str">
        <f>"750056376"</f>
        <v>750056376</v>
      </c>
    </row>
    <row r="1877" spans="1:21" x14ac:dyDescent="0.3">
      <c r="A1877" t="str">
        <f>"440052470"</f>
        <v>440052470</v>
      </c>
      <c r="B1877" t="str">
        <f>"301 854 592 00013"</f>
        <v>301 854 592 00013</v>
      </c>
      <c r="D1877" t="str">
        <f>"CDS OPASS DERVAL-SION LES MINES"</f>
        <v>CDS OPASS DERVAL-SION LES MINES</v>
      </c>
      <c r="F1877" t="str">
        <f>"3 PLACE DE L'EGLISE"</f>
        <v>3 PLACE DE L'EGLISE</v>
      </c>
      <c r="H1877" t="str">
        <f>"44590"</f>
        <v>44590</v>
      </c>
      <c r="I1877" t="str">
        <f>"SION LES MINES"</f>
        <v>SION LES MINES</v>
      </c>
      <c r="J1877" t="str">
        <f>"02 40 07 01 24 "</f>
        <v xml:space="preserve">02 40 07 01 24 </v>
      </c>
      <c r="L1877" s="1">
        <v>41884</v>
      </c>
      <c r="M1877" t="str">
        <f t="shared" si="319"/>
        <v>124</v>
      </c>
      <c r="N1877" t="str">
        <f t="shared" si="320"/>
        <v>Centre de Santé</v>
      </c>
      <c r="O1877" t="str">
        <f>"60"</f>
        <v>60</v>
      </c>
      <c r="P1877" t="str">
        <f>"Association Loi 1901 non Reconnue d'Utilité Publique"</f>
        <v>Association Loi 1901 non Reconnue d'Utilité Publique</v>
      </c>
      <c r="Q1877" t="str">
        <f t="shared" si="315"/>
        <v>36</v>
      </c>
      <c r="R1877" t="str">
        <f t="shared" si="316"/>
        <v>Tarifs conventionnels assurance maladie</v>
      </c>
      <c r="U1877" t="str">
        <f>"440003929"</f>
        <v>440003929</v>
      </c>
    </row>
    <row r="1878" spans="1:21" x14ac:dyDescent="0.3">
      <c r="A1878" t="str">
        <f>"210012134"</f>
        <v>210012134</v>
      </c>
      <c r="B1878" t="str">
        <f>"192 112 373 00290"</f>
        <v>192 112 373 00290</v>
      </c>
      <c r="D1878" t="str">
        <f>"CENTRE PREVENTION ET SANTE UNIVERSITAI"</f>
        <v>CENTRE PREVENTION ET SANTE UNIVERSITAI</v>
      </c>
      <c r="E1878" t="str">
        <f>"6 A RUE DU RECTEUR BOUCHARD"</f>
        <v>6 A RUE DU RECTEUR BOUCHARD</v>
      </c>
      <c r="F1878" t="str">
        <f>"6 RUE DU RECTEUR MARCEL BOUCHARD"</f>
        <v>6 RUE DU RECTEUR MARCEL BOUCHARD</v>
      </c>
      <c r="H1878" t="str">
        <f>"21000"</f>
        <v>21000</v>
      </c>
      <c r="I1878" t="str">
        <f>"DIJON"</f>
        <v>DIJON</v>
      </c>
      <c r="J1878" t="str">
        <f>"03 80 39 51 53 "</f>
        <v xml:space="preserve">03 80 39 51 53 </v>
      </c>
      <c r="L1878" s="1">
        <v>41883</v>
      </c>
      <c r="M1878" t="str">
        <f t="shared" si="319"/>
        <v>124</v>
      </c>
      <c r="N1878" t="str">
        <f t="shared" si="320"/>
        <v>Centre de Santé</v>
      </c>
      <c r="O1878" t="str">
        <f>"26"</f>
        <v>26</v>
      </c>
      <c r="P1878" t="str">
        <f>"Autre Etablissement Public à Caractère Administratif"</f>
        <v>Autre Etablissement Public à Caractère Administratif</v>
      </c>
      <c r="Q1878" t="str">
        <f t="shared" si="315"/>
        <v>36</v>
      </c>
      <c r="R1878" t="str">
        <f t="shared" si="316"/>
        <v>Tarifs conventionnels assurance maladie</v>
      </c>
      <c r="U1878" t="str">
        <f>"210984217"</f>
        <v>210984217</v>
      </c>
    </row>
    <row r="1879" spans="1:21" x14ac:dyDescent="0.3">
      <c r="A1879" t="str">
        <f>"260015367"</f>
        <v>260015367</v>
      </c>
      <c r="B1879" t="str">
        <f>"315 212 035 00036"</f>
        <v>315 212 035 00036</v>
      </c>
      <c r="D1879" t="str">
        <f>"CENTRE DE SANTE CSI DE VALENCE"</f>
        <v>CENTRE DE SANTE CSI DE VALENCE</v>
      </c>
      <c r="F1879" t="str">
        <f>"6 RUE DOCTEUR KOHARIAN"</f>
        <v>6 RUE DOCTEUR KOHARIAN</v>
      </c>
      <c r="H1879" t="str">
        <f>"26000"</f>
        <v>26000</v>
      </c>
      <c r="I1879" t="str">
        <f>"VALENCE"</f>
        <v>VALENCE</v>
      </c>
      <c r="J1879" t="str">
        <f>"04 75 43 42 63 "</f>
        <v xml:space="preserve">04 75 43 42 63 </v>
      </c>
      <c r="K1879" t="str">
        <f>"04 75 43 15 64"</f>
        <v>04 75 43 15 64</v>
      </c>
      <c r="L1879" s="1">
        <v>41883</v>
      </c>
      <c r="M1879" t="str">
        <f t="shared" si="319"/>
        <v>124</v>
      </c>
      <c r="N1879" t="str">
        <f t="shared" si="320"/>
        <v>Centre de Santé</v>
      </c>
      <c r="O1879" t="str">
        <f>"60"</f>
        <v>60</v>
      </c>
      <c r="P1879" t="str">
        <f>"Association Loi 1901 non Reconnue d'Utilité Publique"</f>
        <v>Association Loi 1901 non Reconnue d'Utilité Publique</v>
      </c>
      <c r="Q1879" t="str">
        <f t="shared" si="315"/>
        <v>36</v>
      </c>
      <c r="R1879" t="str">
        <f t="shared" si="316"/>
        <v>Tarifs conventionnels assurance maladie</v>
      </c>
      <c r="U1879" t="str">
        <f>"260011176"</f>
        <v>260011176</v>
      </c>
    </row>
    <row r="1880" spans="1:21" x14ac:dyDescent="0.3">
      <c r="A1880" t="str">
        <f>"390007540"</f>
        <v>390007540</v>
      </c>
      <c r="B1880" t="str">
        <f>"775 597 487 00419"</f>
        <v>775 597 487 00419</v>
      </c>
      <c r="D1880" t="str">
        <f>"CTRE SANTE DENTAIRE MUTUAL MOUCHARD"</f>
        <v>CTRE SANTE DENTAIRE MUTUAL MOUCHARD</v>
      </c>
      <c r="E1880" t="str">
        <f>"MAISON MEDICALE DU VAL D AMOUR"</f>
        <v>MAISON MEDICALE DU VAL D AMOUR</v>
      </c>
      <c r="F1880" t="str">
        <f>"11 RUE DE STRASBOURG"</f>
        <v>11 RUE DE STRASBOURG</v>
      </c>
      <c r="H1880" t="str">
        <f>"39330"</f>
        <v>39330</v>
      </c>
      <c r="I1880" t="str">
        <f>"MOUCHARD"</f>
        <v>MOUCHARD</v>
      </c>
      <c r="J1880" t="str">
        <f>"03 84 53 06 45 "</f>
        <v xml:space="preserve">03 84 53 06 45 </v>
      </c>
      <c r="K1880" t="str">
        <f>"03 84 53 06 49"</f>
        <v>03 84 53 06 49</v>
      </c>
      <c r="L1880" s="1">
        <v>41883</v>
      </c>
      <c r="M1880" t="str">
        <f t="shared" si="319"/>
        <v>124</v>
      </c>
      <c r="N1880" t="str">
        <f t="shared" si="320"/>
        <v>Centre de Santé</v>
      </c>
      <c r="O1880" t="str">
        <f>"47"</f>
        <v>47</v>
      </c>
      <c r="P1880" t="str">
        <f>"Société Mutualiste"</f>
        <v>Société Mutualiste</v>
      </c>
      <c r="Q1880" t="str">
        <f t="shared" si="315"/>
        <v>36</v>
      </c>
      <c r="R1880" t="str">
        <f t="shared" si="316"/>
        <v>Tarifs conventionnels assurance maladie</v>
      </c>
      <c r="U1880" t="str">
        <f>"390784007"</f>
        <v>390784007</v>
      </c>
    </row>
    <row r="1881" spans="1:21" x14ac:dyDescent="0.3">
      <c r="A1881" t="str">
        <f>"410008965"</f>
        <v>410008965</v>
      </c>
      <c r="B1881" t="str">
        <f>"751 206 376 00020"</f>
        <v>751 206 376 00020</v>
      </c>
      <c r="D1881" t="str">
        <f>"CENTRE DE SANTE DE MONTRICHARD"</f>
        <v>CENTRE DE SANTE DE MONTRICHARD</v>
      </c>
      <c r="E1881" t="str">
        <f>"MSP DE MONTRICHARD"</f>
        <v>MSP DE MONTRICHARD</v>
      </c>
      <c r="F1881" t="str">
        <f>"8 RUE BASSE DE NANTEUIL"</f>
        <v>8 RUE BASSE DE NANTEUIL</v>
      </c>
      <c r="H1881" t="str">
        <f>"41406"</f>
        <v>41406</v>
      </c>
      <c r="I1881" t="str">
        <f>"MONTRICHARD CEDEX"</f>
        <v>MONTRICHARD CEDEX</v>
      </c>
      <c r="J1881" t="str">
        <f>"02 54 71 24 00 "</f>
        <v xml:space="preserve">02 54 71 24 00 </v>
      </c>
      <c r="L1881" s="1">
        <v>41883</v>
      </c>
      <c r="M1881" t="str">
        <f t="shared" si="319"/>
        <v>124</v>
      </c>
      <c r="N1881" t="str">
        <f t="shared" si="320"/>
        <v>Centre de Santé</v>
      </c>
      <c r="O1881" t="str">
        <f>"03"</f>
        <v>03</v>
      </c>
      <c r="P1881" t="str">
        <f>"Commune"</f>
        <v>Commune</v>
      </c>
      <c r="Q1881" t="str">
        <f t="shared" si="315"/>
        <v>36</v>
      </c>
      <c r="R1881" t="str">
        <f t="shared" si="316"/>
        <v>Tarifs conventionnels assurance maladie</v>
      </c>
      <c r="U1881" t="str">
        <f>"410008957"</f>
        <v>410008957</v>
      </c>
    </row>
    <row r="1882" spans="1:21" x14ac:dyDescent="0.3">
      <c r="A1882" t="str">
        <f>"760034926"</f>
        <v>760034926</v>
      </c>
      <c r="B1882" t="str">
        <f>"305 837 817 00355"</f>
        <v>305 837 817 00355</v>
      </c>
      <c r="D1882" t="str">
        <f>"CENTRE DE SANTE ANIDER"</f>
        <v>CENTRE DE SANTE ANIDER</v>
      </c>
      <c r="F1882" t="str">
        <f>"18 RUE MARIE CURIE"</f>
        <v>18 RUE MARIE CURIE</v>
      </c>
      <c r="H1882" t="str">
        <f>"76000"</f>
        <v>76000</v>
      </c>
      <c r="I1882" t="str">
        <f>"ROUEN"</f>
        <v>ROUEN</v>
      </c>
      <c r="J1882" t="str">
        <f>"02 35 18 35 70 "</f>
        <v xml:space="preserve">02 35 18 35 70 </v>
      </c>
      <c r="L1882" s="1">
        <v>41883</v>
      </c>
      <c r="M1882" t="str">
        <f t="shared" si="319"/>
        <v>124</v>
      </c>
      <c r="N1882" t="str">
        <f t="shared" si="320"/>
        <v>Centre de Santé</v>
      </c>
      <c r="O1882" t="str">
        <f>"60"</f>
        <v>60</v>
      </c>
      <c r="P1882" t="str">
        <f>"Association Loi 1901 non Reconnue d'Utilité Publique"</f>
        <v>Association Loi 1901 non Reconnue d'Utilité Publique</v>
      </c>
      <c r="Q1882" t="str">
        <f t="shared" si="315"/>
        <v>36</v>
      </c>
      <c r="R1882" t="str">
        <f t="shared" si="316"/>
        <v>Tarifs conventionnels assurance maladie</v>
      </c>
      <c r="U1882" t="str">
        <f>"140000852"</f>
        <v>140000852</v>
      </c>
    </row>
    <row r="1883" spans="1:21" x14ac:dyDescent="0.3">
      <c r="A1883" t="str">
        <f>"750056400"</f>
        <v>750056400</v>
      </c>
      <c r="B1883" t="str">
        <f>"802 235 127 00015"</f>
        <v>802 235 127 00015</v>
      </c>
      <c r="D1883" t="str">
        <f>"CDS DES ORTEAUX"</f>
        <v>CDS DES ORTEAUX</v>
      </c>
      <c r="F1883" t="str">
        <f>"46 RUE DES ORTEAUX"</f>
        <v>46 RUE DES ORTEAUX</v>
      </c>
      <c r="H1883" t="str">
        <f>"75020"</f>
        <v>75020</v>
      </c>
      <c r="I1883" t="str">
        <f>"PARIS"</f>
        <v>PARIS</v>
      </c>
      <c r="J1883" t="str">
        <f>"01 40 24 00 00 "</f>
        <v xml:space="preserve">01 40 24 00 00 </v>
      </c>
      <c r="L1883" s="1">
        <v>41873</v>
      </c>
      <c r="M1883" t="str">
        <f t="shared" si="319"/>
        <v>124</v>
      </c>
      <c r="N1883" t="str">
        <f t="shared" si="320"/>
        <v>Centre de Santé</v>
      </c>
      <c r="O1883" t="str">
        <f>"60"</f>
        <v>60</v>
      </c>
      <c r="P1883" t="str">
        <f>"Association Loi 1901 non Reconnue d'Utilité Publique"</f>
        <v>Association Loi 1901 non Reconnue d'Utilité Publique</v>
      </c>
      <c r="Q1883" t="str">
        <f t="shared" si="315"/>
        <v>36</v>
      </c>
      <c r="R1883" t="str">
        <f t="shared" si="316"/>
        <v>Tarifs conventionnels assurance maladie</v>
      </c>
      <c r="U1883" t="str">
        <f>"750056392"</f>
        <v>750056392</v>
      </c>
    </row>
    <row r="1884" spans="1:21" x14ac:dyDescent="0.3">
      <c r="A1884" t="str">
        <f>"950040204"</f>
        <v>950040204</v>
      </c>
      <c r="B1884" t="str">
        <f>"805 012 424 00018"</f>
        <v>805 012 424 00018</v>
      </c>
      <c r="D1884" t="str">
        <f>"CDS DENTAIRE SARCELLES"</f>
        <v>CDS DENTAIRE SARCELLES</v>
      </c>
      <c r="F1884" t="str">
        <f>"44 RUE PIERRE BROSSOLETTE"</f>
        <v>44 RUE PIERRE BROSSOLETTE</v>
      </c>
      <c r="H1884" t="str">
        <f>"95200"</f>
        <v>95200</v>
      </c>
      <c r="I1884" t="str">
        <f>"SARCELLES"</f>
        <v>SARCELLES</v>
      </c>
      <c r="L1884" s="1">
        <v>41870</v>
      </c>
      <c r="M1884" t="str">
        <f t="shared" si="319"/>
        <v>124</v>
      </c>
      <c r="N1884" t="str">
        <f t="shared" si="320"/>
        <v>Centre de Santé</v>
      </c>
      <c r="O1884" t="str">
        <f>"60"</f>
        <v>60</v>
      </c>
      <c r="P1884" t="str">
        <f>"Association Loi 1901 non Reconnue d'Utilité Publique"</f>
        <v>Association Loi 1901 non Reconnue d'Utilité Publique</v>
      </c>
      <c r="Q1884" t="str">
        <f t="shared" si="315"/>
        <v>36</v>
      </c>
      <c r="R1884" t="str">
        <f t="shared" si="316"/>
        <v>Tarifs conventionnels assurance maladie</v>
      </c>
      <c r="U1884" t="str">
        <f>"950040196"</f>
        <v>950040196</v>
      </c>
    </row>
    <row r="1885" spans="1:21" x14ac:dyDescent="0.3">
      <c r="A1885" t="str">
        <f>"740781919"</f>
        <v>740781919</v>
      </c>
      <c r="B1885" t="str">
        <f>"775 654 478 00541"</f>
        <v>775 654 478 00541</v>
      </c>
      <c r="D1885" t="str">
        <f>"CENTRE DE SANTE UMFMB ANNEMASSE"</f>
        <v>CENTRE DE SANTE UMFMB ANNEMASSE</v>
      </c>
      <c r="F1885" t="str">
        <f>"2 RUE ALFRED BASTIN"</f>
        <v>2 RUE ALFRED BASTIN</v>
      </c>
      <c r="H1885" t="str">
        <f>"74100"</f>
        <v>74100</v>
      </c>
      <c r="I1885" t="str">
        <f>"ANNEMASSE"</f>
        <v>ANNEMASSE</v>
      </c>
      <c r="J1885" t="str">
        <f>"04 50 92 04 87 "</f>
        <v xml:space="preserve">04 50 92 04 87 </v>
      </c>
      <c r="K1885" t="str">
        <f>"04 50 38 24 80"</f>
        <v>04 50 38 24 80</v>
      </c>
      <c r="L1885" s="1">
        <v>41852</v>
      </c>
      <c r="M1885" t="str">
        <f t="shared" si="319"/>
        <v>124</v>
      </c>
      <c r="N1885" t="str">
        <f t="shared" si="320"/>
        <v>Centre de Santé</v>
      </c>
      <c r="O1885" t="str">
        <f>"47"</f>
        <v>47</v>
      </c>
      <c r="P1885" t="str">
        <f>"Société Mutualiste"</f>
        <v>Société Mutualiste</v>
      </c>
      <c r="Q1885" t="str">
        <f t="shared" si="315"/>
        <v>36</v>
      </c>
      <c r="R1885" t="str">
        <f t="shared" si="316"/>
        <v>Tarifs conventionnels assurance maladie</v>
      </c>
      <c r="U1885" t="str">
        <f>"740787791"</f>
        <v>740787791</v>
      </c>
    </row>
    <row r="1886" spans="1:21" x14ac:dyDescent="0.3">
      <c r="A1886" t="str">
        <f>"920029121"</f>
        <v>920029121</v>
      </c>
      <c r="B1886" t="str">
        <f>"798 291 746 00021"</f>
        <v>798 291 746 00021</v>
      </c>
      <c r="D1886" t="str">
        <f>"CDS DENTAIRE DENTEGO"</f>
        <v>CDS DENTAIRE DENTEGO</v>
      </c>
      <c r="F1886" t="str">
        <f>"108 AVENUE EDOUARD VAILLANT"</f>
        <v>108 AVENUE EDOUARD VAILLANT</v>
      </c>
      <c r="H1886" t="str">
        <f>"92100"</f>
        <v>92100</v>
      </c>
      <c r="I1886" t="str">
        <f>"BOULOGNE BILLANCOURT"</f>
        <v>BOULOGNE BILLANCOURT</v>
      </c>
      <c r="J1886" t="str">
        <f>"01 41 10 11 05 "</f>
        <v xml:space="preserve">01 41 10 11 05 </v>
      </c>
      <c r="L1886" s="1">
        <v>41843</v>
      </c>
      <c r="M1886" t="str">
        <f t="shared" si="319"/>
        <v>124</v>
      </c>
      <c r="N1886" t="str">
        <f t="shared" si="320"/>
        <v>Centre de Santé</v>
      </c>
      <c r="O1886" t="str">
        <f>"60"</f>
        <v>60</v>
      </c>
      <c r="P1886" t="str">
        <f>"Association Loi 1901 non Reconnue d'Utilité Publique"</f>
        <v>Association Loi 1901 non Reconnue d'Utilité Publique</v>
      </c>
      <c r="Q1886" t="str">
        <f t="shared" si="315"/>
        <v>36</v>
      </c>
      <c r="R1886" t="str">
        <f t="shared" si="316"/>
        <v>Tarifs conventionnels assurance maladie</v>
      </c>
      <c r="U1886" t="str">
        <f>"750055329"</f>
        <v>750055329</v>
      </c>
    </row>
    <row r="1887" spans="1:21" x14ac:dyDescent="0.3">
      <c r="A1887" t="str">
        <f>"920029147"</f>
        <v>920029147</v>
      </c>
      <c r="B1887" t="str">
        <f>"802 252 148 00019"</f>
        <v>802 252 148 00019</v>
      </c>
      <c r="D1887" t="str">
        <f>"CDS DENTAIRE COURBEVOIE"</f>
        <v>CDS DENTAIRE COURBEVOIE</v>
      </c>
      <c r="F1887" t="str">
        <f>"110 AVENUE MARCEAU"</f>
        <v>110 AVENUE MARCEAU</v>
      </c>
      <c r="H1887" t="str">
        <f>"92400"</f>
        <v>92400</v>
      </c>
      <c r="I1887" t="str">
        <f>"COURBEVOIE"</f>
        <v>COURBEVOIE</v>
      </c>
      <c r="J1887" t="str">
        <f>"01 47 45 39 55 "</f>
        <v xml:space="preserve">01 47 45 39 55 </v>
      </c>
      <c r="K1887" t="str">
        <f>"01 47 45 36 12"</f>
        <v>01 47 45 36 12</v>
      </c>
      <c r="L1887" s="1">
        <v>41843</v>
      </c>
      <c r="M1887" t="str">
        <f t="shared" si="319"/>
        <v>124</v>
      </c>
      <c r="N1887" t="str">
        <f t="shared" si="320"/>
        <v>Centre de Santé</v>
      </c>
      <c r="O1887" t="str">
        <f>"60"</f>
        <v>60</v>
      </c>
      <c r="P1887" t="str">
        <f>"Association Loi 1901 non Reconnue d'Utilité Publique"</f>
        <v>Association Loi 1901 non Reconnue d'Utilité Publique</v>
      </c>
      <c r="Q1887" t="str">
        <f t="shared" si="315"/>
        <v>36</v>
      </c>
      <c r="R1887" t="str">
        <f t="shared" si="316"/>
        <v>Tarifs conventionnels assurance maladie</v>
      </c>
      <c r="U1887" t="str">
        <f>"920029139"</f>
        <v>920029139</v>
      </c>
    </row>
    <row r="1888" spans="1:21" x14ac:dyDescent="0.3">
      <c r="A1888" t="str">
        <f>"760034652"</f>
        <v>760034652</v>
      </c>
      <c r="B1888" t="str">
        <f>"247 600 331 00125"</f>
        <v>247 600 331 00125</v>
      </c>
      <c r="D1888" t="str">
        <f>"CENTRE DE SANTE INTERCOMMUNAL FECAMP"</f>
        <v>CENTRE DE SANTE INTERCOMMUNAL FECAMP</v>
      </c>
      <c r="F1888" t="str">
        <f>"122 AVENUE JEAN LORRAIN"</f>
        <v>122 AVENUE JEAN LORRAIN</v>
      </c>
      <c r="H1888" t="str">
        <f>"76400"</f>
        <v>76400</v>
      </c>
      <c r="I1888" t="str">
        <f>"FECAMP"</f>
        <v>FECAMP</v>
      </c>
      <c r="J1888" t="str">
        <f>"02 35 28 77 75 "</f>
        <v xml:space="preserve">02 35 28 77 75 </v>
      </c>
      <c r="L1888" s="1">
        <v>41837</v>
      </c>
      <c r="M1888" t="str">
        <f t="shared" si="319"/>
        <v>124</v>
      </c>
      <c r="N1888" t="str">
        <f t="shared" si="320"/>
        <v>Centre de Santé</v>
      </c>
      <c r="O1888" t="str">
        <f>"26"</f>
        <v>26</v>
      </c>
      <c r="P1888" t="str">
        <f>"Autre Etablissement Public à Caractère Administratif"</f>
        <v>Autre Etablissement Public à Caractère Administratif</v>
      </c>
      <c r="Q1888" t="str">
        <f t="shared" si="315"/>
        <v>36</v>
      </c>
      <c r="R1888" t="str">
        <f t="shared" si="316"/>
        <v>Tarifs conventionnels assurance maladie</v>
      </c>
      <c r="U1888" t="str">
        <f>"760024828"</f>
        <v>760024828</v>
      </c>
    </row>
    <row r="1889" spans="1:21" x14ac:dyDescent="0.3">
      <c r="A1889" t="str">
        <f>"930025655"</f>
        <v>930025655</v>
      </c>
      <c r="D1889" t="str">
        <f>"CDS MEDICO DENTAIRE ELISE"</f>
        <v>CDS MEDICO DENTAIRE ELISE</v>
      </c>
      <c r="F1889" t="str">
        <f>"8 RUE BRISE ECHALAS"</f>
        <v>8 RUE BRISE ECHALAS</v>
      </c>
      <c r="H1889" t="str">
        <f>"93200"</f>
        <v>93200</v>
      </c>
      <c r="I1889" t="str">
        <f>"ST DENIS"</f>
        <v>ST DENIS</v>
      </c>
      <c r="J1889" t="str">
        <f>"01 49 22 00 00 "</f>
        <v xml:space="preserve">01 49 22 00 00 </v>
      </c>
      <c r="L1889" s="1">
        <v>41837</v>
      </c>
      <c r="M1889" t="str">
        <f t="shared" si="319"/>
        <v>124</v>
      </c>
      <c r="N1889" t="str">
        <f t="shared" si="320"/>
        <v>Centre de Santé</v>
      </c>
      <c r="O1889" t="str">
        <f t="shared" ref="O1889:O1895" si="321">"60"</f>
        <v>60</v>
      </c>
      <c r="P1889" t="str">
        <f t="shared" ref="P1889:P1895" si="322">"Association Loi 1901 non Reconnue d'Utilité Publique"</f>
        <v>Association Loi 1901 non Reconnue d'Utilité Publique</v>
      </c>
      <c r="Q1889" t="str">
        <f t="shared" si="315"/>
        <v>36</v>
      </c>
      <c r="R1889" t="str">
        <f t="shared" si="316"/>
        <v>Tarifs conventionnels assurance maladie</v>
      </c>
      <c r="U1889" t="str">
        <f>"920029113"</f>
        <v>920029113</v>
      </c>
    </row>
    <row r="1890" spans="1:21" x14ac:dyDescent="0.3">
      <c r="A1890" t="str">
        <f>"930025648"</f>
        <v>930025648</v>
      </c>
      <c r="B1890" t="str">
        <f>"805 020 906 00014"</f>
        <v>805 020 906 00014</v>
      </c>
      <c r="D1890" t="str">
        <f>"CDS DENTAIRE DES COSMONAUTES"</f>
        <v>CDS DENTAIRE DES COSMONAUTES</v>
      </c>
      <c r="F1890" t="str">
        <f>"1 RUE MANET"</f>
        <v>1 RUE MANET</v>
      </c>
      <c r="H1890" t="str">
        <f>"93150"</f>
        <v>93150</v>
      </c>
      <c r="I1890" t="str">
        <f>"LE BLANC MESNIL"</f>
        <v>LE BLANC MESNIL</v>
      </c>
      <c r="J1890" t="str">
        <f>"01 48 61 39 61 "</f>
        <v xml:space="preserve">01 48 61 39 61 </v>
      </c>
      <c r="L1890" s="1">
        <v>41836</v>
      </c>
      <c r="M1890" t="str">
        <f t="shared" si="319"/>
        <v>124</v>
      </c>
      <c r="N1890" t="str">
        <f t="shared" si="320"/>
        <v>Centre de Santé</v>
      </c>
      <c r="O1890" t="str">
        <f t="shared" si="321"/>
        <v>60</v>
      </c>
      <c r="P1890" t="str">
        <f t="shared" si="322"/>
        <v>Association Loi 1901 non Reconnue d'Utilité Publique</v>
      </c>
      <c r="Q1890" t="str">
        <f t="shared" si="315"/>
        <v>36</v>
      </c>
      <c r="R1890" t="str">
        <f t="shared" si="316"/>
        <v>Tarifs conventionnels assurance maladie</v>
      </c>
      <c r="U1890" t="str">
        <f>"930025630"</f>
        <v>930025630</v>
      </c>
    </row>
    <row r="1891" spans="1:21" x14ac:dyDescent="0.3">
      <c r="A1891" t="str">
        <f>"310025689"</f>
        <v>310025689</v>
      </c>
      <c r="B1891" t="str">
        <f>"802 925 396 00029"</f>
        <v>802 925 396 00029</v>
      </c>
      <c r="D1891" t="str">
        <f>"CENTRE DE SANTE AGIR ENSEMBLE"</f>
        <v>CENTRE DE SANTE AGIR ENSEMBLE</v>
      </c>
      <c r="F1891" t="str">
        <f>"3 RUE EMILE DEWOITINE B11 A12"</f>
        <v>3 RUE EMILE DEWOITINE B11 A12</v>
      </c>
      <c r="H1891" t="str">
        <f>"31600"</f>
        <v>31600</v>
      </c>
      <c r="I1891" t="str">
        <f>"SEYSSES"</f>
        <v>SEYSSES</v>
      </c>
      <c r="J1891" t="str">
        <f>"05 34 48 60 68 "</f>
        <v xml:space="preserve">05 34 48 60 68 </v>
      </c>
      <c r="L1891" s="1">
        <v>41821</v>
      </c>
      <c r="M1891" t="str">
        <f t="shared" si="319"/>
        <v>124</v>
      </c>
      <c r="N1891" t="str">
        <f t="shared" si="320"/>
        <v>Centre de Santé</v>
      </c>
      <c r="O1891" t="str">
        <f t="shared" si="321"/>
        <v>60</v>
      </c>
      <c r="P1891" t="str">
        <f t="shared" si="322"/>
        <v>Association Loi 1901 non Reconnue d'Utilité Publique</v>
      </c>
      <c r="Q1891" t="str">
        <f t="shared" si="315"/>
        <v>36</v>
      </c>
      <c r="R1891" t="str">
        <f t="shared" si="316"/>
        <v>Tarifs conventionnels assurance maladie</v>
      </c>
      <c r="U1891" t="str">
        <f>"310025671"</f>
        <v>310025671</v>
      </c>
    </row>
    <row r="1892" spans="1:21" x14ac:dyDescent="0.3">
      <c r="A1892" t="str">
        <f>"690018288"</f>
        <v>690018288</v>
      </c>
      <c r="B1892" t="str">
        <f>"512 611 781 00844"</f>
        <v>512 611 781 00844</v>
      </c>
      <c r="D1892" t="str">
        <f>"CENTRE DE SANTE HSSSE LYON 3EME"</f>
        <v>CENTRE DE SANTE HSSSE LYON 3EME</v>
      </c>
      <c r="F1892" t="str">
        <f>"28 RUE BARA"</f>
        <v>28 RUE BARA</v>
      </c>
      <c r="H1892" t="str">
        <f>"69003"</f>
        <v>69003</v>
      </c>
      <c r="I1892" t="str">
        <f>"LYON"</f>
        <v>LYON</v>
      </c>
      <c r="J1892" t="str">
        <f>"04 27 19 41 60 "</f>
        <v xml:space="preserve">04 27 19 41 60 </v>
      </c>
      <c r="K1892" t="str">
        <f>"04 27 19 41 61"</f>
        <v>04 27 19 41 61</v>
      </c>
      <c r="L1892" s="1">
        <v>41821</v>
      </c>
      <c r="M1892" t="str">
        <f t="shared" si="319"/>
        <v>124</v>
      </c>
      <c r="N1892" t="str">
        <f t="shared" si="320"/>
        <v>Centre de Santé</v>
      </c>
      <c r="O1892" t="str">
        <f t="shared" si="321"/>
        <v>60</v>
      </c>
      <c r="P1892" t="str">
        <f t="shared" si="322"/>
        <v>Association Loi 1901 non Reconnue d'Utilité Publique</v>
      </c>
      <c r="Q1892" t="str">
        <f t="shared" ref="Q1892:Q1955" si="323">"36"</f>
        <v>36</v>
      </c>
      <c r="R1892" t="str">
        <f t="shared" ref="R1892:R1955" si="324">"Tarifs conventionnels assurance maladie"</f>
        <v>Tarifs conventionnels assurance maladie</v>
      </c>
      <c r="U1892" t="str">
        <f>"840019210"</f>
        <v>840019210</v>
      </c>
    </row>
    <row r="1893" spans="1:21" x14ac:dyDescent="0.3">
      <c r="A1893" t="str">
        <f>"710014432"</f>
        <v>710014432</v>
      </c>
      <c r="B1893" t="str">
        <f>"794 263 616 00037"</f>
        <v>794 263 616 00037</v>
      </c>
      <c r="D1893" t="str">
        <f>"CENTRE SANTE DENTAIRE LE CREUSOT"</f>
        <v>CENTRE SANTE DENTAIRE LE CREUSOT</v>
      </c>
      <c r="F1893" t="str">
        <f>"1 AVENUE JEAN MONNET"</f>
        <v>1 AVENUE JEAN MONNET</v>
      </c>
      <c r="H1893" t="str">
        <f>"71200"</f>
        <v>71200</v>
      </c>
      <c r="I1893" t="str">
        <f>"LE CREUSOT"</f>
        <v>LE CREUSOT</v>
      </c>
      <c r="L1893" s="1">
        <v>41821</v>
      </c>
      <c r="M1893" t="str">
        <f t="shared" si="319"/>
        <v>124</v>
      </c>
      <c r="N1893" t="str">
        <f t="shared" si="320"/>
        <v>Centre de Santé</v>
      </c>
      <c r="O1893" t="str">
        <f t="shared" si="321"/>
        <v>60</v>
      </c>
      <c r="P1893" t="str">
        <f t="shared" si="322"/>
        <v>Association Loi 1901 non Reconnue d'Utilité Publique</v>
      </c>
      <c r="Q1893" t="str">
        <f t="shared" si="323"/>
        <v>36</v>
      </c>
      <c r="R1893" t="str">
        <f t="shared" si="324"/>
        <v>Tarifs conventionnels assurance maladie</v>
      </c>
      <c r="U1893" t="str">
        <f>"710014424"</f>
        <v>710014424</v>
      </c>
    </row>
    <row r="1894" spans="1:21" x14ac:dyDescent="0.3">
      <c r="A1894" t="str">
        <f>"690006861"</f>
        <v>690006861</v>
      </c>
      <c r="B1894" t="str">
        <f>"407 991 447 00027"</f>
        <v>407 991 447 00027</v>
      </c>
      <c r="D1894" t="str">
        <f>"CENTRE DE SANTE DE DECINES-CHARPIEU"</f>
        <v>CENTRE DE SANTE DE DECINES-CHARPIEU</v>
      </c>
      <c r="F1894" t="str">
        <f>"32 RUE DE LA REPUBLIQUE"</f>
        <v>32 RUE DE LA REPUBLIQUE</v>
      </c>
      <c r="H1894" t="str">
        <f>"69150"</f>
        <v>69150</v>
      </c>
      <c r="I1894" t="str">
        <f>"DECINES CHARPIEU"</f>
        <v>DECINES CHARPIEU</v>
      </c>
      <c r="J1894" t="str">
        <f>"04 78 49 72 30 "</f>
        <v xml:space="preserve">04 78 49 72 30 </v>
      </c>
      <c r="K1894" t="str">
        <f>"04 72 02 07 47"</f>
        <v>04 72 02 07 47</v>
      </c>
      <c r="L1894" s="1">
        <v>41813</v>
      </c>
      <c r="M1894" t="str">
        <f t="shared" si="319"/>
        <v>124</v>
      </c>
      <c r="N1894" t="str">
        <f t="shared" si="320"/>
        <v>Centre de Santé</v>
      </c>
      <c r="O1894" t="str">
        <f t="shared" si="321"/>
        <v>60</v>
      </c>
      <c r="P1894" t="str">
        <f t="shared" si="322"/>
        <v>Association Loi 1901 non Reconnue d'Utilité Publique</v>
      </c>
      <c r="Q1894" t="str">
        <f t="shared" si="323"/>
        <v>36</v>
      </c>
      <c r="R1894" t="str">
        <f t="shared" si="324"/>
        <v>Tarifs conventionnels assurance maladie</v>
      </c>
      <c r="U1894" t="str">
        <f>"690006796"</f>
        <v>690006796</v>
      </c>
    </row>
    <row r="1895" spans="1:21" x14ac:dyDescent="0.3">
      <c r="A1895" t="str">
        <f>"770020402"</f>
        <v>770020402</v>
      </c>
      <c r="B1895" t="str">
        <f>"807 882 675 00018"</f>
        <v>807 882 675 00018</v>
      </c>
      <c r="D1895" t="str">
        <f>"CDS DENTAIRE DE CHELLES"</f>
        <v>CDS DENTAIRE DE CHELLES</v>
      </c>
      <c r="E1895" t="str">
        <f>"45-47"</f>
        <v>45-47</v>
      </c>
      <c r="F1895" t="str">
        <f>"45 AVENUE DU MARECHAL FOCH"</f>
        <v>45 AVENUE DU MARECHAL FOCH</v>
      </c>
      <c r="H1895" t="str">
        <f>"77500"</f>
        <v>77500</v>
      </c>
      <c r="I1895" t="str">
        <f>"CHELLES"</f>
        <v>CHELLES</v>
      </c>
      <c r="J1895" t="str">
        <f>"01 64 11 06 39 "</f>
        <v xml:space="preserve">01 64 11 06 39 </v>
      </c>
      <c r="L1895" s="1">
        <v>41813</v>
      </c>
      <c r="M1895" t="str">
        <f t="shared" si="319"/>
        <v>124</v>
      </c>
      <c r="N1895" t="str">
        <f t="shared" si="320"/>
        <v>Centre de Santé</v>
      </c>
      <c r="O1895" t="str">
        <f t="shared" si="321"/>
        <v>60</v>
      </c>
      <c r="P1895" t="str">
        <f t="shared" si="322"/>
        <v>Association Loi 1901 non Reconnue d'Utilité Publique</v>
      </c>
      <c r="Q1895" t="str">
        <f t="shared" si="323"/>
        <v>36</v>
      </c>
      <c r="R1895" t="str">
        <f t="shared" si="324"/>
        <v>Tarifs conventionnels assurance maladie</v>
      </c>
      <c r="U1895" t="str">
        <f>"770020394"</f>
        <v>770020394</v>
      </c>
    </row>
    <row r="1896" spans="1:21" x14ac:dyDescent="0.3">
      <c r="A1896" t="str">
        <f>"310025663"</f>
        <v>310025663</v>
      </c>
      <c r="B1896" t="str">
        <f>"776 950 529 00482"</f>
        <v>776 950 529 00482</v>
      </c>
      <c r="D1896" t="str">
        <f>"CTRE DE SANTE VILLEFRANCHE DE LAURAGAI"</f>
        <v>CTRE DE SANTE VILLEFRANCHE DE LAURAGAI</v>
      </c>
      <c r="F1896" t="str">
        <f>"2 CHEMIN DE LA CANAVE"</f>
        <v>2 CHEMIN DE LA CANAVE</v>
      </c>
      <c r="H1896" t="str">
        <f>"31290"</f>
        <v>31290</v>
      </c>
      <c r="I1896" t="str">
        <f>"VILLEFRANCHE DE LAURAGAIS"</f>
        <v>VILLEFRANCHE DE LAURAGAIS</v>
      </c>
      <c r="J1896" t="str">
        <f>"05 62 15 02 72 "</f>
        <v xml:space="preserve">05 62 15 02 72 </v>
      </c>
      <c r="L1896" s="1">
        <v>41806</v>
      </c>
      <c r="M1896" t="str">
        <f t="shared" si="319"/>
        <v>124</v>
      </c>
      <c r="N1896" t="str">
        <f t="shared" si="320"/>
        <v>Centre de Santé</v>
      </c>
      <c r="O1896" t="str">
        <f>"47"</f>
        <v>47</v>
      </c>
      <c r="P1896" t="str">
        <f>"Société Mutualiste"</f>
        <v>Société Mutualiste</v>
      </c>
      <c r="Q1896" t="str">
        <f t="shared" si="323"/>
        <v>36</v>
      </c>
      <c r="R1896" t="str">
        <f t="shared" si="324"/>
        <v>Tarifs conventionnels assurance maladie</v>
      </c>
      <c r="U1896" t="str">
        <f>"310788682"</f>
        <v>310788682</v>
      </c>
    </row>
    <row r="1897" spans="1:21" x14ac:dyDescent="0.3">
      <c r="A1897" t="str">
        <f>"830020640"</f>
        <v>830020640</v>
      </c>
      <c r="B1897" t="str">
        <f>"334 898 640 00035"</f>
        <v>334 898 640 00035</v>
      </c>
      <c r="D1897" t="str">
        <f>"CDS MEDICAL AVODD"</f>
        <v>CDS MEDICAL AVODD</v>
      </c>
      <c r="F1897" t="str">
        <f>"RUE MARECHAL JUIN"</f>
        <v>RUE MARECHAL JUIN</v>
      </c>
      <c r="H1897" t="str">
        <f>"83400"</f>
        <v>83400</v>
      </c>
      <c r="I1897" t="str">
        <f>"HYERES"</f>
        <v>HYERES</v>
      </c>
      <c r="J1897" t="str">
        <f>"04 94 12 83 83 "</f>
        <v xml:space="preserve">04 94 12 83 83 </v>
      </c>
      <c r="K1897" t="str">
        <f>"04 94 12 83 99"</f>
        <v>04 94 12 83 99</v>
      </c>
      <c r="L1897" s="1">
        <v>41806</v>
      </c>
      <c r="M1897" t="str">
        <f t="shared" si="319"/>
        <v>124</v>
      </c>
      <c r="N1897" t="str">
        <f t="shared" si="320"/>
        <v>Centre de Santé</v>
      </c>
      <c r="O1897" t="str">
        <f>"65"</f>
        <v>65</v>
      </c>
      <c r="P1897" t="str">
        <f>"Autre Organisme Privé à But non Lucratif"</f>
        <v>Autre Organisme Privé à But non Lucratif</v>
      </c>
      <c r="Q1897" t="str">
        <f t="shared" si="323"/>
        <v>36</v>
      </c>
      <c r="R1897" t="str">
        <f t="shared" si="324"/>
        <v>Tarifs conventionnels assurance maladie</v>
      </c>
      <c r="U1897" t="str">
        <f>"830002119"</f>
        <v>830002119</v>
      </c>
    </row>
    <row r="1898" spans="1:21" x14ac:dyDescent="0.3">
      <c r="A1898" t="str">
        <f>"660006255"</f>
        <v>660006255</v>
      </c>
      <c r="B1898" t="str">
        <f>"444 270 326 00267"</f>
        <v>444 270 326 00267</v>
      </c>
      <c r="D1898" t="str">
        <f>"CDS DENTAIRE PERPIGNAN TORREMILLA"</f>
        <v>CDS DENTAIRE PERPIGNAN TORREMILLA</v>
      </c>
      <c r="E1898" t="str">
        <f>"ESPACE MEDICAL TORREMILLA"</f>
        <v>ESPACE MEDICAL TORREMILLA</v>
      </c>
      <c r="F1898" t="str">
        <f>"CHEMIN DE TORREMILLA"</f>
        <v>CHEMIN DE TORREMILLA</v>
      </c>
      <c r="H1898" t="str">
        <f>"66000"</f>
        <v>66000</v>
      </c>
      <c r="I1898" t="str">
        <f>"PERPIGNAN"</f>
        <v>PERPIGNAN</v>
      </c>
      <c r="J1898" t="str">
        <f>"04 68 86 65 40 "</f>
        <v xml:space="preserve">04 68 86 65 40 </v>
      </c>
      <c r="L1898" s="1">
        <v>41802</v>
      </c>
      <c r="M1898" t="str">
        <f t="shared" si="319"/>
        <v>124</v>
      </c>
      <c r="N1898" t="str">
        <f t="shared" si="320"/>
        <v>Centre de Santé</v>
      </c>
      <c r="O1898" t="str">
        <f>"47"</f>
        <v>47</v>
      </c>
      <c r="P1898" t="str">
        <f>"Société Mutualiste"</f>
        <v>Société Mutualiste</v>
      </c>
      <c r="Q1898" t="str">
        <f t="shared" si="323"/>
        <v>36</v>
      </c>
      <c r="R1898" t="str">
        <f t="shared" si="324"/>
        <v>Tarifs conventionnels assurance maladie</v>
      </c>
      <c r="U1898" t="str">
        <f>"340028901"</f>
        <v>340028901</v>
      </c>
    </row>
    <row r="1899" spans="1:21" x14ac:dyDescent="0.3">
      <c r="A1899" t="str">
        <f>"130044191"</f>
        <v>130044191</v>
      </c>
      <c r="B1899" t="str">
        <f>"799 903 034 00012"</f>
        <v>799 903 034 00012</v>
      </c>
      <c r="D1899" t="str">
        <f>"CDS DENTAIRE EXCELDENT"</f>
        <v>CDS DENTAIRE EXCELDENT</v>
      </c>
      <c r="F1899" t="str">
        <f>"6 RUE DU JEUNE ANACHARSIS"</f>
        <v>6 RUE DU JEUNE ANACHARSIS</v>
      </c>
      <c r="H1899" t="str">
        <f>"13001"</f>
        <v>13001</v>
      </c>
      <c r="I1899" t="str">
        <f>"MARSEILLE"</f>
        <v>MARSEILLE</v>
      </c>
      <c r="J1899" t="str">
        <f>"04 91 04 04 00 "</f>
        <v xml:space="preserve">04 91 04 04 00 </v>
      </c>
      <c r="K1899" t="str">
        <f>"04 91 33 25 47"</f>
        <v>04 91 33 25 47</v>
      </c>
      <c r="L1899" s="1">
        <v>41795</v>
      </c>
      <c r="M1899" t="str">
        <f t="shared" si="319"/>
        <v>124</v>
      </c>
      <c r="N1899" t="str">
        <f t="shared" si="320"/>
        <v>Centre de Santé</v>
      </c>
      <c r="O1899" t="str">
        <f>"60"</f>
        <v>60</v>
      </c>
      <c r="P1899" t="str">
        <f>"Association Loi 1901 non Reconnue d'Utilité Publique"</f>
        <v>Association Loi 1901 non Reconnue d'Utilité Publique</v>
      </c>
      <c r="Q1899" t="str">
        <f t="shared" si="323"/>
        <v>36</v>
      </c>
      <c r="R1899" t="str">
        <f t="shared" si="324"/>
        <v>Tarifs conventionnels assurance maladie</v>
      </c>
      <c r="U1899" t="str">
        <f>"130044183"</f>
        <v>130044183</v>
      </c>
    </row>
    <row r="1900" spans="1:21" x14ac:dyDescent="0.3">
      <c r="A1900" t="str">
        <f>"740783329"</f>
        <v>740783329</v>
      </c>
      <c r="B1900" t="str">
        <f>"775 648 223 00847"</f>
        <v>775 648 223 00847</v>
      </c>
      <c r="D1900" t="str">
        <f>"CENTRE DE SANTE MFS DENTAIRE CLUSES"</f>
        <v>CENTRE DE SANTE MFS DENTAIRE CLUSES</v>
      </c>
      <c r="F1900" t="str">
        <f>"10 RUE CHARLES PONCET"</f>
        <v>10 RUE CHARLES PONCET</v>
      </c>
      <c r="H1900" t="str">
        <f>"74300"</f>
        <v>74300</v>
      </c>
      <c r="I1900" t="str">
        <f>"CLUSES"</f>
        <v>CLUSES</v>
      </c>
      <c r="J1900" t="str">
        <f>"04 50 98 68 86 "</f>
        <v xml:space="preserve">04 50 98 68 86 </v>
      </c>
      <c r="L1900" s="1">
        <v>41791</v>
      </c>
      <c r="M1900" t="str">
        <f t="shared" si="319"/>
        <v>124</v>
      </c>
      <c r="N1900" t="str">
        <f t="shared" si="320"/>
        <v>Centre de Santé</v>
      </c>
      <c r="O1900" t="str">
        <f>"47"</f>
        <v>47</v>
      </c>
      <c r="P1900" t="str">
        <f>"Société Mutualiste"</f>
        <v>Société Mutualiste</v>
      </c>
      <c r="Q1900" t="str">
        <f t="shared" si="323"/>
        <v>36</v>
      </c>
      <c r="R1900" t="str">
        <f t="shared" si="324"/>
        <v>Tarifs conventionnels assurance maladie</v>
      </c>
      <c r="U1900" t="str">
        <f>"690796602"</f>
        <v>690796602</v>
      </c>
    </row>
    <row r="1901" spans="1:21" x14ac:dyDescent="0.3">
      <c r="A1901" t="str">
        <f>"130044274"</f>
        <v>130044274</v>
      </c>
      <c r="B1901" t="str">
        <f>"800 407 173 00015"</f>
        <v>800 407 173 00015</v>
      </c>
      <c r="D1901" t="str">
        <f>"CDS DENTAIRE ROTONDE"</f>
        <v>CDS DENTAIRE ROTONDE</v>
      </c>
      <c r="F1901" t="str">
        <f>"90 AVENUE NAPOLEON BONAPARTE"</f>
        <v>90 AVENUE NAPOLEON BONAPARTE</v>
      </c>
      <c r="H1901" t="str">
        <f>"13100"</f>
        <v>13100</v>
      </c>
      <c r="I1901" t="str">
        <f>"AIX EN PROVENCE"</f>
        <v>AIX EN PROVENCE</v>
      </c>
      <c r="J1901" t="str">
        <f>"04 42 12 50 50 "</f>
        <v xml:space="preserve">04 42 12 50 50 </v>
      </c>
      <c r="L1901" s="1">
        <v>41780</v>
      </c>
      <c r="M1901" t="str">
        <f t="shared" si="319"/>
        <v>124</v>
      </c>
      <c r="N1901" t="str">
        <f t="shared" si="320"/>
        <v>Centre de Santé</v>
      </c>
      <c r="O1901" t="str">
        <f>"60"</f>
        <v>60</v>
      </c>
      <c r="P1901" t="str">
        <f>"Association Loi 1901 non Reconnue d'Utilité Publique"</f>
        <v>Association Loi 1901 non Reconnue d'Utilité Publique</v>
      </c>
      <c r="Q1901" t="str">
        <f t="shared" si="323"/>
        <v>36</v>
      </c>
      <c r="R1901" t="str">
        <f t="shared" si="324"/>
        <v>Tarifs conventionnels assurance maladie</v>
      </c>
      <c r="U1901" t="str">
        <f>"130044266"</f>
        <v>130044266</v>
      </c>
    </row>
    <row r="1902" spans="1:21" x14ac:dyDescent="0.3">
      <c r="A1902" t="str">
        <f>"490019569"</f>
        <v>490019569</v>
      </c>
      <c r="B1902" t="str">
        <f>"214 901 092 00145"</f>
        <v>214 901 092 00145</v>
      </c>
      <c r="D1902" t="str">
        <f>"CENTRE MUNICIPAL DE SANTE CORONNAIS"</f>
        <v>CENTRE MUNICIPAL DE SANTE CORONNAIS</v>
      </c>
      <c r="F1902" t="str">
        <f>"1 RUE DES NOISETIERS"</f>
        <v>1 RUE DES NOISETIERS</v>
      </c>
      <c r="H1902" t="str">
        <f>"49690"</f>
        <v>49690</v>
      </c>
      <c r="I1902" t="str">
        <f>"CORON"</f>
        <v>CORON</v>
      </c>
      <c r="J1902" t="str">
        <f>"02 41 55 81 72 "</f>
        <v xml:space="preserve">02 41 55 81 72 </v>
      </c>
      <c r="L1902" s="1">
        <v>41779</v>
      </c>
      <c r="M1902" t="str">
        <f t="shared" si="319"/>
        <v>124</v>
      </c>
      <c r="N1902" t="str">
        <f t="shared" si="320"/>
        <v>Centre de Santé</v>
      </c>
      <c r="O1902" t="str">
        <f>"03"</f>
        <v>03</v>
      </c>
      <c r="P1902" t="str">
        <f>"Commune"</f>
        <v>Commune</v>
      </c>
      <c r="Q1902" t="str">
        <f t="shared" si="323"/>
        <v>36</v>
      </c>
      <c r="R1902" t="str">
        <f t="shared" si="324"/>
        <v>Tarifs conventionnels assurance maladie</v>
      </c>
      <c r="U1902" t="str">
        <f>"490019551"</f>
        <v>490019551</v>
      </c>
    </row>
    <row r="1903" spans="1:21" x14ac:dyDescent="0.3">
      <c r="A1903" t="str">
        <f>"940022130"</f>
        <v>940022130</v>
      </c>
      <c r="D1903" t="str">
        <f>"CDS MEDICO DENTAIRE DES BERGES"</f>
        <v>CDS MEDICO DENTAIRE DES BERGES</v>
      </c>
      <c r="F1903" t="str">
        <f>"39 QUAI DES CARRIERES"</f>
        <v>39 QUAI DES CARRIERES</v>
      </c>
      <c r="H1903" t="str">
        <f>"94220"</f>
        <v>94220</v>
      </c>
      <c r="I1903" t="str">
        <f>"CHARENTON LE PONT"</f>
        <v>CHARENTON LE PONT</v>
      </c>
      <c r="J1903" t="str">
        <f>"01 43 96 93 10 "</f>
        <v xml:space="preserve">01 43 96 93 10 </v>
      </c>
      <c r="L1903" s="1">
        <v>41778</v>
      </c>
      <c r="M1903" t="str">
        <f t="shared" si="319"/>
        <v>124</v>
      </c>
      <c r="N1903" t="str">
        <f t="shared" si="320"/>
        <v>Centre de Santé</v>
      </c>
      <c r="O1903" t="str">
        <f>"60"</f>
        <v>60</v>
      </c>
      <c r="P1903" t="str">
        <f>"Association Loi 1901 non Reconnue d'Utilité Publique"</f>
        <v>Association Loi 1901 non Reconnue d'Utilité Publique</v>
      </c>
      <c r="Q1903" t="str">
        <f t="shared" si="323"/>
        <v>36</v>
      </c>
      <c r="R1903" t="str">
        <f t="shared" si="324"/>
        <v>Tarifs conventionnels assurance maladie</v>
      </c>
      <c r="U1903" t="str">
        <f>"940022122"</f>
        <v>940022122</v>
      </c>
    </row>
    <row r="1904" spans="1:21" x14ac:dyDescent="0.3">
      <c r="A1904" t="str">
        <f>"220022305"</f>
        <v>220022305</v>
      </c>
      <c r="B1904" t="str">
        <f>"519 033 989 00152"</f>
        <v>519 033 989 00152</v>
      </c>
      <c r="D1904" t="str">
        <f>"CDS DENTAIRE MUTUALISTE DE PLOUARET"</f>
        <v>CDS DENTAIRE MUTUALISTE DE PLOUARET</v>
      </c>
      <c r="F1904" t="str">
        <f>"5 RUE HENT BECHENNEG"</f>
        <v>5 RUE HENT BECHENNEG</v>
      </c>
      <c r="H1904" t="str">
        <f>"22420"</f>
        <v>22420</v>
      </c>
      <c r="I1904" t="str">
        <f>"LE VIEUX MARCHE"</f>
        <v>LE VIEUX MARCHE</v>
      </c>
      <c r="J1904" t="str">
        <f>"02 96 38 32 34 "</f>
        <v xml:space="preserve">02 96 38 32 34 </v>
      </c>
      <c r="L1904" s="1">
        <v>41775</v>
      </c>
      <c r="M1904" t="str">
        <f t="shared" si="319"/>
        <v>124</v>
      </c>
      <c r="N1904" t="str">
        <f t="shared" si="320"/>
        <v>Centre de Santé</v>
      </c>
      <c r="O1904" t="str">
        <f>"47"</f>
        <v>47</v>
      </c>
      <c r="P1904" t="str">
        <f>"Société Mutualiste"</f>
        <v>Société Mutualiste</v>
      </c>
      <c r="Q1904" t="str">
        <f t="shared" si="323"/>
        <v>36</v>
      </c>
      <c r="R1904" t="str">
        <f t="shared" si="324"/>
        <v>Tarifs conventionnels assurance maladie</v>
      </c>
      <c r="U1904" t="str">
        <f>"560030710"</f>
        <v>560030710</v>
      </c>
    </row>
    <row r="1905" spans="1:21" x14ac:dyDescent="0.3">
      <c r="A1905" t="str">
        <f>"440052371"</f>
        <v>440052371</v>
      </c>
      <c r="B1905" t="str">
        <f>"801 532 698 00017"</f>
        <v>801 532 698 00017</v>
      </c>
      <c r="D1905" t="str">
        <f>"CENTRE DE SANTE POLYVALENT A VOS SOINS"</f>
        <v>CENTRE DE SANTE POLYVALENT A VOS SOINS</v>
      </c>
      <c r="F1905" t="str">
        <f>"104 RUE DE GUTENBERG"</f>
        <v>104 RUE DE GUTENBERG</v>
      </c>
      <c r="H1905" t="str">
        <f>"44600"</f>
        <v>44600</v>
      </c>
      <c r="I1905" t="str">
        <f>"ST NAZAIRE"</f>
        <v>ST NAZAIRE</v>
      </c>
      <c r="J1905" t="str">
        <f>"09 81 75 44 03 "</f>
        <v xml:space="preserve">09 81 75 44 03 </v>
      </c>
      <c r="L1905" s="1">
        <v>41761</v>
      </c>
      <c r="M1905" t="str">
        <f t="shared" si="319"/>
        <v>124</v>
      </c>
      <c r="N1905" t="str">
        <f t="shared" si="320"/>
        <v>Centre de Santé</v>
      </c>
      <c r="O1905" t="str">
        <f>"60"</f>
        <v>60</v>
      </c>
      <c r="P1905" t="str">
        <f>"Association Loi 1901 non Reconnue d'Utilité Publique"</f>
        <v>Association Loi 1901 non Reconnue d'Utilité Publique</v>
      </c>
      <c r="Q1905" t="str">
        <f t="shared" si="323"/>
        <v>36</v>
      </c>
      <c r="R1905" t="str">
        <f t="shared" si="324"/>
        <v>Tarifs conventionnels assurance maladie</v>
      </c>
      <c r="U1905" t="str">
        <f>"440052363"</f>
        <v>440052363</v>
      </c>
    </row>
    <row r="1906" spans="1:21" x14ac:dyDescent="0.3">
      <c r="A1906" t="str">
        <f>"610007171"</f>
        <v>610007171</v>
      </c>
      <c r="B1906" t="str">
        <f>"314 912 189 00052"</f>
        <v>314 912 189 00052</v>
      </c>
      <c r="D1906" t="str">
        <f>"CENTRE DE SANTE POLYVALENT - BAGNOLES"</f>
        <v>CENTRE DE SANTE POLYVALENT - BAGNOLES</v>
      </c>
      <c r="F1906" t="str">
        <f>"17 AVENUE DU DOCTEUR AIMEZ"</f>
        <v>17 AVENUE DU DOCTEUR AIMEZ</v>
      </c>
      <c r="H1906" t="str">
        <f>"61140"</f>
        <v>61140</v>
      </c>
      <c r="I1906" t="str">
        <f>"BAGNOLES DE L ORNE NORMAND"</f>
        <v>BAGNOLES DE L ORNE NORMAND</v>
      </c>
      <c r="J1906" t="str">
        <f>"02 33 30 20 31 "</f>
        <v xml:space="preserve">02 33 30 20 31 </v>
      </c>
      <c r="K1906" t="str">
        <f>"02 33 30 20 09"</f>
        <v>02 33 30 20 09</v>
      </c>
      <c r="L1906" s="1">
        <v>41760</v>
      </c>
      <c r="M1906" t="str">
        <f t="shared" si="319"/>
        <v>124</v>
      </c>
      <c r="N1906" t="str">
        <f t="shared" si="320"/>
        <v>Centre de Santé</v>
      </c>
      <c r="O1906" t="str">
        <f>"60"</f>
        <v>60</v>
      </c>
      <c r="P1906" t="str">
        <f>"Association Loi 1901 non Reconnue d'Utilité Publique"</f>
        <v>Association Loi 1901 non Reconnue d'Utilité Publique</v>
      </c>
      <c r="Q1906" t="str">
        <f t="shared" si="323"/>
        <v>36</v>
      </c>
      <c r="R1906" t="str">
        <f t="shared" si="324"/>
        <v>Tarifs conventionnels assurance maladie</v>
      </c>
      <c r="U1906" t="str">
        <f>"610787285"</f>
        <v>610787285</v>
      </c>
    </row>
    <row r="1907" spans="1:21" x14ac:dyDescent="0.3">
      <c r="A1907" t="str">
        <f>"340021484"</f>
        <v>340021484</v>
      </c>
      <c r="B1907" t="str">
        <f>"444 270 326 00283"</f>
        <v>444 270 326 00283</v>
      </c>
      <c r="D1907" t="str">
        <f>"CDS DENTAIRE MUTUALISTE SETE"</f>
        <v>CDS DENTAIRE MUTUALISTE SETE</v>
      </c>
      <c r="F1907" t="str">
        <f>"6 QUAI D'ALGER"</f>
        <v>6 QUAI D'ALGER</v>
      </c>
      <c r="H1907" t="str">
        <f>"34200"</f>
        <v>34200</v>
      </c>
      <c r="I1907" t="str">
        <f>"SETE"</f>
        <v>SETE</v>
      </c>
      <c r="J1907" t="str">
        <f>"04 67 78 33 51 "</f>
        <v xml:space="preserve">04 67 78 33 51 </v>
      </c>
      <c r="L1907" s="1">
        <v>41739</v>
      </c>
      <c r="M1907" t="str">
        <f t="shared" si="319"/>
        <v>124</v>
      </c>
      <c r="N1907" t="str">
        <f t="shared" si="320"/>
        <v>Centre de Santé</v>
      </c>
      <c r="O1907" t="str">
        <f>"47"</f>
        <v>47</v>
      </c>
      <c r="P1907" t="str">
        <f>"Société Mutualiste"</f>
        <v>Société Mutualiste</v>
      </c>
      <c r="Q1907" t="str">
        <f t="shared" si="323"/>
        <v>36</v>
      </c>
      <c r="R1907" t="str">
        <f t="shared" si="324"/>
        <v>Tarifs conventionnels assurance maladie</v>
      </c>
      <c r="U1907" t="str">
        <f>"340028901"</f>
        <v>340028901</v>
      </c>
    </row>
    <row r="1908" spans="1:21" x14ac:dyDescent="0.3">
      <c r="A1908" t="str">
        <f>"950039834"</f>
        <v>950039834</v>
      </c>
      <c r="B1908" t="str">
        <f>"799 899 422 00015"</f>
        <v>799 899 422 00015</v>
      </c>
      <c r="D1908" t="str">
        <f>"CDS DENTAIRES D ARNOUVILLE"</f>
        <v>CDS DENTAIRES D ARNOUVILLE</v>
      </c>
      <c r="F1908" t="str">
        <f>"11 RUE JEAN JAURES"</f>
        <v>11 RUE JEAN JAURES</v>
      </c>
      <c r="H1908" t="str">
        <f>"95400"</f>
        <v>95400</v>
      </c>
      <c r="I1908" t="str">
        <f>"ARNOUVILLE"</f>
        <v>ARNOUVILLE</v>
      </c>
      <c r="J1908" t="str">
        <f>"01 30 11 18 90 "</f>
        <v xml:space="preserve">01 30 11 18 90 </v>
      </c>
      <c r="L1908" s="1">
        <v>41731</v>
      </c>
      <c r="M1908" t="str">
        <f t="shared" si="319"/>
        <v>124</v>
      </c>
      <c r="N1908" t="str">
        <f t="shared" si="320"/>
        <v>Centre de Santé</v>
      </c>
      <c r="O1908" t="str">
        <f>"60"</f>
        <v>60</v>
      </c>
      <c r="P1908" t="str">
        <f>"Association Loi 1901 non Reconnue d'Utilité Publique"</f>
        <v>Association Loi 1901 non Reconnue d'Utilité Publique</v>
      </c>
      <c r="Q1908" t="str">
        <f t="shared" si="323"/>
        <v>36</v>
      </c>
      <c r="R1908" t="str">
        <f t="shared" si="324"/>
        <v>Tarifs conventionnels assurance maladie</v>
      </c>
      <c r="U1908" t="str">
        <f>"950039826"</f>
        <v>950039826</v>
      </c>
    </row>
    <row r="1909" spans="1:21" x14ac:dyDescent="0.3">
      <c r="A1909" t="str">
        <f>"690018759"</f>
        <v>690018759</v>
      </c>
      <c r="B1909" t="str">
        <f>"327 355 160 00547"</f>
        <v>327 355 160 00547</v>
      </c>
      <c r="D1909" t="str">
        <f>"CENTRE DE SANTE ACPPA VILLEFRANCHE"</f>
        <v>CENTRE DE SANTE ACPPA VILLEFRANCHE</v>
      </c>
      <c r="F1909" t="str">
        <f>"258 RUE BOINTON"</f>
        <v>258 RUE BOINTON</v>
      </c>
      <c r="H1909" t="str">
        <f>"69400"</f>
        <v>69400</v>
      </c>
      <c r="I1909" t="str">
        <f>"VILLEFRANCHE SUR SAONE"</f>
        <v>VILLEFRANCHE SUR SAONE</v>
      </c>
      <c r="J1909" t="str">
        <f>"04 74 65 41 66 "</f>
        <v xml:space="preserve">04 74 65 41 66 </v>
      </c>
      <c r="K1909" t="str">
        <f>"04 74 60 46 94"</f>
        <v>04 74 60 46 94</v>
      </c>
      <c r="L1909" s="1">
        <v>41730</v>
      </c>
      <c r="M1909" t="str">
        <f t="shared" si="319"/>
        <v>124</v>
      </c>
      <c r="N1909" t="str">
        <f t="shared" si="320"/>
        <v>Centre de Santé</v>
      </c>
      <c r="O1909" t="str">
        <f>"60"</f>
        <v>60</v>
      </c>
      <c r="P1909" t="str">
        <f>"Association Loi 1901 non Reconnue d'Utilité Publique"</f>
        <v>Association Loi 1901 non Reconnue d'Utilité Publique</v>
      </c>
      <c r="Q1909" t="str">
        <f t="shared" si="323"/>
        <v>36</v>
      </c>
      <c r="R1909" t="str">
        <f t="shared" si="324"/>
        <v>Tarifs conventionnels assurance maladie</v>
      </c>
      <c r="U1909" t="str">
        <f>"690802715"</f>
        <v>690802715</v>
      </c>
    </row>
    <row r="1910" spans="1:21" x14ac:dyDescent="0.3">
      <c r="A1910" t="str">
        <f>"870001187"</f>
        <v>870001187</v>
      </c>
      <c r="B1910" t="str">
        <f>"775 716 673 00063"</f>
        <v>775 716 673 00063</v>
      </c>
      <c r="D1910" t="str">
        <f>"CABINET DENTAIRE MUTUALISTE"</f>
        <v>CABINET DENTAIRE MUTUALISTE</v>
      </c>
      <c r="F1910" t="str">
        <f>"39 AVENUE GARIBALDI"</f>
        <v>39 AVENUE GARIBALDI</v>
      </c>
      <c r="H1910" t="str">
        <f>"87000"</f>
        <v>87000</v>
      </c>
      <c r="I1910" t="str">
        <f>"LIMOGES"</f>
        <v>LIMOGES</v>
      </c>
      <c r="J1910" t="str">
        <f>"05 55 33 96 30 "</f>
        <v xml:space="preserve">05 55 33 96 30 </v>
      </c>
      <c r="L1910" s="1">
        <v>41730</v>
      </c>
      <c r="M1910" t="str">
        <f t="shared" si="319"/>
        <v>124</v>
      </c>
      <c r="N1910" t="str">
        <f t="shared" si="320"/>
        <v>Centre de Santé</v>
      </c>
      <c r="O1910" t="str">
        <f>"47"</f>
        <v>47</v>
      </c>
      <c r="P1910" t="str">
        <f>"Société Mutualiste"</f>
        <v>Société Mutualiste</v>
      </c>
      <c r="Q1910" t="str">
        <f t="shared" si="323"/>
        <v>36</v>
      </c>
      <c r="R1910" t="str">
        <f t="shared" si="324"/>
        <v>Tarifs conventionnels assurance maladie</v>
      </c>
      <c r="U1910" t="str">
        <f>"870016722"</f>
        <v>870016722</v>
      </c>
    </row>
    <row r="1911" spans="1:21" x14ac:dyDescent="0.3">
      <c r="A1911" t="str">
        <f>"050007558"</f>
        <v>050007558</v>
      </c>
      <c r="D1911" t="str">
        <f>"CSM CHANT'OURS"</f>
        <v>CSM CHANT'OURS</v>
      </c>
      <c r="F1911" t="str">
        <f>"118 ROUTE DE GRENOBLE"</f>
        <v>118 ROUTE DE GRENOBLE</v>
      </c>
      <c r="H1911" t="str">
        <f>"05107"</f>
        <v>05107</v>
      </c>
      <c r="I1911" t="str">
        <f>"BRIANCON CEDEX"</f>
        <v>BRIANCON CEDEX</v>
      </c>
      <c r="J1911" t="str">
        <f>"04 92 25 58 20 "</f>
        <v xml:space="preserve">04 92 25 58 20 </v>
      </c>
      <c r="L1911" s="1">
        <v>41722</v>
      </c>
      <c r="M1911" t="str">
        <f t="shared" si="319"/>
        <v>124</v>
      </c>
      <c r="N1911" t="str">
        <f t="shared" si="320"/>
        <v>Centre de Santé</v>
      </c>
      <c r="O1911" t="str">
        <f>"63"</f>
        <v>63</v>
      </c>
      <c r="P1911" t="str">
        <f>"Fondation"</f>
        <v>Fondation</v>
      </c>
      <c r="Q1911" t="str">
        <f t="shared" si="323"/>
        <v>36</v>
      </c>
      <c r="R1911" t="str">
        <f t="shared" si="324"/>
        <v>Tarifs conventionnels assurance maladie</v>
      </c>
      <c r="U1911" t="str">
        <f>"050000546"</f>
        <v>050000546</v>
      </c>
    </row>
    <row r="1912" spans="1:21" x14ac:dyDescent="0.3">
      <c r="A1912" t="str">
        <f>"930025549"</f>
        <v>930025549</v>
      </c>
      <c r="B1912" t="str">
        <f>"798 199 394 00015"</f>
        <v>798 199 394 00015</v>
      </c>
      <c r="D1912" t="str">
        <f>"CDS DENTAIRE DE SEVRAN"</f>
        <v>CDS DENTAIRE DE SEVRAN</v>
      </c>
      <c r="F1912" t="str">
        <f>"134 RUE MICHELET"</f>
        <v>134 RUE MICHELET</v>
      </c>
      <c r="H1912" t="str">
        <f>"93270"</f>
        <v>93270</v>
      </c>
      <c r="I1912" t="str">
        <f>"SEVRAN"</f>
        <v>SEVRAN</v>
      </c>
      <c r="J1912" t="str">
        <f>"01 41 52 20 80 "</f>
        <v xml:space="preserve">01 41 52 20 80 </v>
      </c>
      <c r="K1912" t="str">
        <f>"01 41 52 33 53"</f>
        <v>01 41 52 33 53</v>
      </c>
      <c r="L1912" s="1">
        <v>41710</v>
      </c>
      <c r="M1912" t="str">
        <f t="shared" si="319"/>
        <v>124</v>
      </c>
      <c r="N1912" t="str">
        <f t="shared" si="320"/>
        <v>Centre de Santé</v>
      </c>
      <c r="O1912" t="str">
        <f>"60"</f>
        <v>60</v>
      </c>
      <c r="P1912" t="str">
        <f>"Association Loi 1901 non Reconnue d'Utilité Publique"</f>
        <v>Association Loi 1901 non Reconnue d'Utilité Publique</v>
      </c>
      <c r="Q1912" t="str">
        <f t="shared" si="323"/>
        <v>36</v>
      </c>
      <c r="R1912" t="str">
        <f t="shared" si="324"/>
        <v>Tarifs conventionnels assurance maladie</v>
      </c>
      <c r="U1912" t="str">
        <f>"930025531"</f>
        <v>930025531</v>
      </c>
    </row>
    <row r="1913" spans="1:21" x14ac:dyDescent="0.3">
      <c r="A1913" t="str">
        <f>"750056079"</f>
        <v>750056079</v>
      </c>
      <c r="D1913" t="str">
        <f>"CDS SIUMPPS"</f>
        <v>CDS SIUMPPS</v>
      </c>
      <c r="E1913" t="str">
        <f>"PORTE T 145"</f>
        <v>PORTE T 145</v>
      </c>
      <c r="F1913" t="str">
        <f>"45 RUE DES SAINTS PERES"</f>
        <v>45 RUE DES SAINTS PERES</v>
      </c>
      <c r="H1913" t="str">
        <f>"75006"</f>
        <v>75006</v>
      </c>
      <c r="I1913" t="str">
        <f>"PARIS"</f>
        <v>PARIS</v>
      </c>
      <c r="J1913" t="str">
        <f>"01 42 86 21 29 "</f>
        <v xml:space="preserve">01 42 86 21 29 </v>
      </c>
      <c r="K1913" t="str">
        <f>"01 42 86 43 95"</f>
        <v>01 42 86 43 95</v>
      </c>
      <c r="L1913" s="1">
        <v>41702</v>
      </c>
      <c r="M1913" t="str">
        <f t="shared" si="319"/>
        <v>124</v>
      </c>
      <c r="N1913" t="str">
        <f t="shared" si="320"/>
        <v>Centre de Santé</v>
      </c>
      <c r="O1913" t="str">
        <f>"26"</f>
        <v>26</v>
      </c>
      <c r="P1913" t="str">
        <f>"Autre Etablissement Public à Caractère Administratif"</f>
        <v>Autre Etablissement Public à Caractère Administratif</v>
      </c>
      <c r="Q1913" t="str">
        <f t="shared" si="323"/>
        <v>36</v>
      </c>
      <c r="R1913" t="str">
        <f t="shared" si="324"/>
        <v>Tarifs conventionnels assurance maladie</v>
      </c>
      <c r="U1913" t="str">
        <f>"750056061"</f>
        <v>750056061</v>
      </c>
    </row>
    <row r="1914" spans="1:21" x14ac:dyDescent="0.3">
      <c r="A1914" t="str">
        <f>"830020566"</f>
        <v>830020566</v>
      </c>
      <c r="D1914" t="str">
        <f>"CSD MF PACA"</f>
        <v>CSD MF PACA</v>
      </c>
      <c r="F1914" t="str">
        <f>"ROUTE DÉPARTEMENTALE 19"</f>
        <v>ROUTE DÉPARTEMENTALE 19</v>
      </c>
      <c r="G1914" t="str">
        <f>"QUARTIER TASSY"</f>
        <v>QUARTIER TASSY</v>
      </c>
      <c r="H1914" t="str">
        <f>"83440"</f>
        <v>83440</v>
      </c>
      <c r="I1914" t="str">
        <f>"TOURRETTES"</f>
        <v>TOURRETTES</v>
      </c>
      <c r="L1914" s="1">
        <v>41701</v>
      </c>
      <c r="M1914" t="str">
        <f t="shared" si="319"/>
        <v>124</v>
      </c>
      <c r="N1914" t="str">
        <f t="shared" si="320"/>
        <v>Centre de Santé</v>
      </c>
      <c r="O1914" t="str">
        <f>"47"</f>
        <v>47</v>
      </c>
      <c r="P1914" t="str">
        <f>"Société Mutualiste"</f>
        <v>Société Mutualiste</v>
      </c>
      <c r="Q1914" t="str">
        <f t="shared" si="323"/>
        <v>36</v>
      </c>
      <c r="R1914" t="str">
        <f t="shared" si="324"/>
        <v>Tarifs conventionnels assurance maladie</v>
      </c>
      <c r="U1914" t="str">
        <f>"130007032"</f>
        <v>130007032</v>
      </c>
    </row>
    <row r="1915" spans="1:21" x14ac:dyDescent="0.3">
      <c r="A1915" t="str">
        <f>"910021229"</f>
        <v>910021229</v>
      </c>
      <c r="B1915" t="str">
        <f>"800 190 654 00015"</f>
        <v>800 190 654 00015</v>
      </c>
      <c r="D1915" t="str">
        <f>"CDS DENTAIRE APSB LE PLESSIS PATE"</f>
        <v>CDS DENTAIRE APSB LE PLESSIS PATE</v>
      </c>
      <c r="F1915" t="str">
        <f>"36 RUE DU BOIS DE CHÂTRE"</f>
        <v>36 RUE DU BOIS DE CHÂTRE</v>
      </c>
      <c r="H1915" t="str">
        <f>"91220"</f>
        <v>91220</v>
      </c>
      <c r="I1915" t="str">
        <f>"BRETIGNY SUR ORGE"</f>
        <v>BRETIGNY SUR ORGE</v>
      </c>
      <c r="J1915" t="str">
        <f>"01 60 84 98 78 "</f>
        <v xml:space="preserve">01 60 84 98 78 </v>
      </c>
      <c r="K1915" t="str">
        <f>"01 60 84 89 19"</f>
        <v>01 60 84 89 19</v>
      </c>
      <c r="L1915" s="1">
        <v>41688</v>
      </c>
      <c r="M1915" t="str">
        <f t="shared" si="319"/>
        <v>124</v>
      </c>
      <c r="N1915" t="str">
        <f t="shared" si="320"/>
        <v>Centre de Santé</v>
      </c>
      <c r="O1915" t="str">
        <f>"60"</f>
        <v>60</v>
      </c>
      <c r="P1915" t="str">
        <f>"Association Loi 1901 non Reconnue d'Utilité Publique"</f>
        <v>Association Loi 1901 non Reconnue d'Utilité Publique</v>
      </c>
      <c r="Q1915" t="str">
        <f t="shared" si="323"/>
        <v>36</v>
      </c>
      <c r="R1915" t="str">
        <f t="shared" si="324"/>
        <v>Tarifs conventionnels assurance maladie</v>
      </c>
      <c r="U1915" t="str">
        <f>"910021211"</f>
        <v>910021211</v>
      </c>
    </row>
    <row r="1916" spans="1:21" x14ac:dyDescent="0.3">
      <c r="A1916" t="str">
        <f>"850025115"</f>
        <v>850025115</v>
      </c>
      <c r="B1916" t="str">
        <f>"200 059 079 00018"</f>
        <v>200 059 079 00018</v>
      </c>
      <c r="D1916" t="str">
        <f>"CENTRE DE SANTE DE SEVREMONT"</f>
        <v>CENTRE DE SANTE DE SEVREMONT</v>
      </c>
      <c r="F1916" t="str">
        <f>"1 IMPASSE DES SOGUETIERES"</f>
        <v>1 IMPASSE DES SOGUETIERES</v>
      </c>
      <c r="G1916" t="str">
        <f>"SAINT-MICHEL-MONT-MERCURE"</f>
        <v>SAINT-MICHEL-MONT-MERCURE</v>
      </c>
      <c r="H1916" t="str">
        <f>"85700"</f>
        <v>85700</v>
      </c>
      <c r="I1916" t="str">
        <f>"SEVREMONT"</f>
        <v>SEVREMONT</v>
      </c>
      <c r="J1916" t="str">
        <f>"02 51 57 20 32 "</f>
        <v xml:space="preserve">02 51 57 20 32 </v>
      </c>
      <c r="L1916" s="1">
        <v>41682</v>
      </c>
      <c r="M1916" t="str">
        <f t="shared" si="319"/>
        <v>124</v>
      </c>
      <c r="N1916" t="str">
        <f t="shared" si="320"/>
        <v>Centre de Santé</v>
      </c>
      <c r="O1916" t="str">
        <f>"03"</f>
        <v>03</v>
      </c>
      <c r="P1916" t="str">
        <f>"Commune"</f>
        <v>Commune</v>
      </c>
      <c r="Q1916" t="str">
        <f t="shared" si="323"/>
        <v>36</v>
      </c>
      <c r="R1916" t="str">
        <f t="shared" si="324"/>
        <v>Tarifs conventionnels assurance maladie</v>
      </c>
      <c r="U1916" t="str">
        <f>"850025107"</f>
        <v>850025107</v>
      </c>
    </row>
    <row r="1917" spans="1:21" x14ac:dyDescent="0.3">
      <c r="A1917" t="str">
        <f>"260015326"</f>
        <v>260015326</v>
      </c>
      <c r="B1917" t="str">
        <f>"849 077 599 00017"</f>
        <v>849 077 599 00017</v>
      </c>
      <c r="D1917" t="str">
        <f>"CENTRE DE SANTE DE SAINT-VALLIER"</f>
        <v>CENTRE DE SANTE DE SAINT-VALLIER</v>
      </c>
      <c r="F1917" t="str">
        <f>"15 RUE DIANE DE POITIERS"</f>
        <v>15 RUE DIANE DE POITIERS</v>
      </c>
      <c r="H1917" t="str">
        <f>"26240"</f>
        <v>26240</v>
      </c>
      <c r="I1917" t="str">
        <f>"ST VALLIER"</f>
        <v>ST VALLIER</v>
      </c>
      <c r="J1917" t="str">
        <f>"04 75 23 11 22 "</f>
        <v xml:space="preserve">04 75 23 11 22 </v>
      </c>
      <c r="K1917" t="str">
        <f>"04 75 23 30 92"</f>
        <v>04 75 23 30 92</v>
      </c>
      <c r="L1917" s="1">
        <v>41671</v>
      </c>
      <c r="M1917" t="str">
        <f t="shared" si="319"/>
        <v>124</v>
      </c>
      <c r="N1917" t="str">
        <f t="shared" si="320"/>
        <v>Centre de Santé</v>
      </c>
      <c r="O1917" t="str">
        <f>"60"</f>
        <v>60</v>
      </c>
      <c r="P1917" t="str">
        <f>"Association Loi 1901 non Reconnue d'Utilité Publique"</f>
        <v>Association Loi 1901 non Reconnue d'Utilité Publique</v>
      </c>
      <c r="Q1917" t="str">
        <f t="shared" si="323"/>
        <v>36</v>
      </c>
      <c r="R1917" t="str">
        <f t="shared" si="324"/>
        <v>Tarifs conventionnels assurance maladie</v>
      </c>
      <c r="U1917" t="str">
        <f>"260021357"</f>
        <v>260021357</v>
      </c>
    </row>
    <row r="1918" spans="1:21" x14ac:dyDescent="0.3">
      <c r="A1918" t="str">
        <f>"310025614"</f>
        <v>310025614</v>
      </c>
      <c r="B1918" t="str">
        <f>"776 950 529 00474"</f>
        <v>776 950 529 00474</v>
      </c>
      <c r="D1918" t="str">
        <f>"CENTRE MEDICAL MUTUALISTE DU CENTRE"</f>
        <v>CENTRE MEDICAL MUTUALISTE DU CENTRE</v>
      </c>
      <c r="F1918" t="str">
        <f>"3 RUE DE METZ"</f>
        <v>3 RUE DE METZ</v>
      </c>
      <c r="H1918" t="str">
        <f>"31000"</f>
        <v>31000</v>
      </c>
      <c r="I1918" t="str">
        <f>"TOULOUSE"</f>
        <v>TOULOUSE</v>
      </c>
      <c r="J1918" t="str">
        <f>"05 61 76 62 39 "</f>
        <v xml:space="preserve">05 61 76 62 39 </v>
      </c>
      <c r="L1918" s="1">
        <v>41660</v>
      </c>
      <c r="M1918" t="str">
        <f t="shared" si="319"/>
        <v>124</v>
      </c>
      <c r="N1918" t="str">
        <f t="shared" si="320"/>
        <v>Centre de Santé</v>
      </c>
      <c r="O1918" t="str">
        <f>"47"</f>
        <v>47</v>
      </c>
      <c r="P1918" t="str">
        <f>"Société Mutualiste"</f>
        <v>Société Mutualiste</v>
      </c>
      <c r="Q1918" t="str">
        <f t="shared" si="323"/>
        <v>36</v>
      </c>
      <c r="R1918" t="str">
        <f t="shared" si="324"/>
        <v>Tarifs conventionnels assurance maladie</v>
      </c>
      <c r="U1918" t="str">
        <f>"310788682"</f>
        <v>310788682</v>
      </c>
    </row>
    <row r="1919" spans="1:21" x14ac:dyDescent="0.3">
      <c r="A1919" t="str">
        <f>"130044233"</f>
        <v>130044233</v>
      </c>
      <c r="D1919" t="str">
        <f>"CDS DENTIFREE"</f>
        <v>CDS DENTIFREE</v>
      </c>
      <c r="F1919" t="str">
        <f>"100 CHEMIN DE L'AUMONE VIEILLE"</f>
        <v>100 CHEMIN DE L'AUMONE VIEILLE</v>
      </c>
      <c r="G1919" t="str">
        <f>"ZONE ACTIBURO 2"</f>
        <v>ZONE ACTIBURO 2</v>
      </c>
      <c r="H1919" t="str">
        <f>"13400"</f>
        <v>13400</v>
      </c>
      <c r="I1919" t="str">
        <f>"AUBAGNE"</f>
        <v>AUBAGNE</v>
      </c>
      <c r="J1919" t="str">
        <f>"04 84 83 01 25 "</f>
        <v xml:space="preserve">04 84 83 01 25 </v>
      </c>
      <c r="K1919" t="str">
        <f>"09 58 57 07 16"</f>
        <v>09 58 57 07 16</v>
      </c>
      <c r="L1919" s="1">
        <v>41646</v>
      </c>
      <c r="M1919" t="str">
        <f t="shared" si="319"/>
        <v>124</v>
      </c>
      <c r="N1919" t="str">
        <f t="shared" si="320"/>
        <v>Centre de Santé</v>
      </c>
      <c r="O1919" t="str">
        <f>"60"</f>
        <v>60</v>
      </c>
      <c r="P1919" t="str">
        <f>"Association Loi 1901 non Reconnue d'Utilité Publique"</f>
        <v>Association Loi 1901 non Reconnue d'Utilité Publique</v>
      </c>
      <c r="Q1919" t="str">
        <f t="shared" si="323"/>
        <v>36</v>
      </c>
      <c r="R1919" t="str">
        <f t="shared" si="324"/>
        <v>Tarifs conventionnels assurance maladie</v>
      </c>
      <c r="U1919" t="str">
        <f>"780022927"</f>
        <v>780022927</v>
      </c>
    </row>
    <row r="1920" spans="1:21" x14ac:dyDescent="0.3">
      <c r="A1920" t="str">
        <f>"340021468"</f>
        <v>340021468</v>
      </c>
      <c r="B1920" t="str">
        <f>"752 617 589 00011"</f>
        <v>752 617 589 00011</v>
      </c>
      <c r="D1920" t="str">
        <f>"CDS MEDICAL D'HOMEOPATHIE"</f>
        <v>CDS MEDICAL D'HOMEOPATHIE</v>
      </c>
      <c r="E1920" t="str">
        <f>"CANTEGRIL BAT 1"</f>
        <v>CANTEGRIL BAT 1</v>
      </c>
      <c r="F1920" t="str">
        <f>"CHEMIN DE TISSON"</f>
        <v>CHEMIN DE TISSON</v>
      </c>
      <c r="H1920" t="str">
        <f>"34170"</f>
        <v>34170</v>
      </c>
      <c r="I1920" t="str">
        <f>"CASTELNAU LE LEZ"</f>
        <v>CASTELNAU LE LEZ</v>
      </c>
      <c r="J1920" t="str">
        <f>"09 72 46 40 76 "</f>
        <v xml:space="preserve">09 72 46 40 76 </v>
      </c>
      <c r="L1920" s="1">
        <v>41645</v>
      </c>
      <c r="M1920" t="str">
        <f t="shared" si="319"/>
        <v>124</v>
      </c>
      <c r="N1920" t="str">
        <f t="shared" si="320"/>
        <v>Centre de Santé</v>
      </c>
      <c r="O1920" t="str">
        <f>"60"</f>
        <v>60</v>
      </c>
      <c r="P1920" t="str">
        <f>"Association Loi 1901 non Reconnue d'Utilité Publique"</f>
        <v>Association Loi 1901 non Reconnue d'Utilité Publique</v>
      </c>
      <c r="Q1920" t="str">
        <f t="shared" si="323"/>
        <v>36</v>
      </c>
      <c r="R1920" t="str">
        <f t="shared" si="324"/>
        <v>Tarifs conventionnels assurance maladie</v>
      </c>
      <c r="U1920" t="str">
        <f>"340021450"</f>
        <v>340021450</v>
      </c>
    </row>
    <row r="1921" spans="1:21" x14ac:dyDescent="0.3">
      <c r="A1921" t="str">
        <f>"440051969"</f>
        <v>440051969</v>
      </c>
      <c r="B1921" t="str">
        <f>"793 234 063 00014"</f>
        <v>793 234 063 00014</v>
      </c>
      <c r="D1921" t="str">
        <f>"CENTRE DE SANTE DENTAIRE"</f>
        <v>CENTRE DE SANTE DENTAIRE</v>
      </c>
      <c r="F1921" t="str">
        <f>"4 PLACE DES JACOBINS"</f>
        <v>4 PLACE DES JACOBINS</v>
      </c>
      <c r="G1921" t="str">
        <f>"NANTES"</f>
        <v>NANTES</v>
      </c>
      <c r="H1921" t="str">
        <f>"44000"</f>
        <v>44000</v>
      </c>
      <c r="I1921" t="str">
        <f>"NANTES"</f>
        <v>NANTES</v>
      </c>
      <c r="J1921" t="str">
        <f>"02 40 89 65 53 "</f>
        <v xml:space="preserve">02 40 89 65 53 </v>
      </c>
      <c r="L1921" s="1">
        <v>41640</v>
      </c>
      <c r="M1921" t="str">
        <f t="shared" si="319"/>
        <v>124</v>
      </c>
      <c r="N1921" t="str">
        <f t="shared" si="320"/>
        <v>Centre de Santé</v>
      </c>
      <c r="O1921" t="str">
        <f>"47"</f>
        <v>47</v>
      </c>
      <c r="P1921" t="str">
        <f>"Société Mutualiste"</f>
        <v>Société Mutualiste</v>
      </c>
      <c r="Q1921" t="str">
        <f t="shared" si="323"/>
        <v>36</v>
      </c>
      <c r="R1921" t="str">
        <f t="shared" si="324"/>
        <v>Tarifs conventionnels assurance maladie</v>
      </c>
      <c r="U1921" t="str">
        <f>"440051951"</f>
        <v>440051951</v>
      </c>
    </row>
    <row r="1922" spans="1:21" x14ac:dyDescent="0.3">
      <c r="A1922" t="str">
        <f>"690040209"</f>
        <v>690040209</v>
      </c>
      <c r="B1922" t="str">
        <f>"266 900 182 00111"</f>
        <v>266 900 182 00111</v>
      </c>
      <c r="D1922" t="str">
        <f>"CENTRE DE SANTE NEUVILLE-SUR-SAONE"</f>
        <v>CENTRE DE SANTE NEUVILLE-SUR-SAONE</v>
      </c>
      <c r="F1922" t="str">
        <f>"53 CHEMIN DE PARENTY"</f>
        <v>53 CHEMIN DE PARENTY</v>
      </c>
      <c r="H1922" t="str">
        <f>"69250"</f>
        <v>69250</v>
      </c>
      <c r="I1922" t="str">
        <f>"NEUVILLE SUR SAONE"</f>
        <v>NEUVILLE SUR SAONE</v>
      </c>
      <c r="J1922" t="str">
        <f>"04 72 10 72 65 "</f>
        <v xml:space="preserve">04 72 10 72 65 </v>
      </c>
      <c r="L1922" s="1">
        <v>41640</v>
      </c>
      <c r="M1922" t="str">
        <f t="shared" ref="M1922:M1985" si="325">"124"</f>
        <v>124</v>
      </c>
      <c r="N1922" t="str">
        <f t="shared" ref="N1922:N1985" si="326">"Centre de Santé"</f>
        <v>Centre de Santé</v>
      </c>
      <c r="O1922" t="str">
        <f>"14"</f>
        <v>14</v>
      </c>
      <c r="P1922" t="str">
        <f>"Etablissement Public Intercommunal d'Hospitalisation"</f>
        <v>Etablissement Public Intercommunal d'Hospitalisation</v>
      </c>
      <c r="Q1922" t="str">
        <f t="shared" si="323"/>
        <v>36</v>
      </c>
      <c r="R1922" t="str">
        <f t="shared" si="324"/>
        <v>Tarifs conventionnels assurance maladie</v>
      </c>
      <c r="U1922" t="str">
        <f>"690780077"</f>
        <v>690780077</v>
      </c>
    </row>
    <row r="1923" spans="1:21" x14ac:dyDescent="0.3">
      <c r="A1923" t="str">
        <f>"740004189"</f>
        <v>740004189</v>
      </c>
      <c r="B1923" t="str">
        <f>"775 654 478 00533"</f>
        <v>775 654 478 00533</v>
      </c>
      <c r="D1923" t="str">
        <f>"CENTRE DE SANTE UMFMB ANNECY/PERIMETRE"</f>
        <v>CENTRE DE SANTE UMFMB ANNECY/PERIMETRE</v>
      </c>
      <c r="F1923" t="str">
        <f>"3 ROUTE DU PERIMETRE"</f>
        <v>3 ROUTE DU PERIMETRE</v>
      </c>
      <c r="H1923" t="str">
        <f>"74000"</f>
        <v>74000</v>
      </c>
      <c r="I1923" t="str">
        <f>"ANNECY"</f>
        <v>ANNECY</v>
      </c>
      <c r="J1923" t="str">
        <f>"04 50 27 56 45 "</f>
        <v xml:space="preserve">04 50 27 56 45 </v>
      </c>
      <c r="K1923" t="str">
        <f>"04 50 27 56 47"</f>
        <v>04 50 27 56 47</v>
      </c>
      <c r="L1923" s="1">
        <v>41640</v>
      </c>
      <c r="M1923" t="str">
        <f t="shared" si="325"/>
        <v>124</v>
      </c>
      <c r="N1923" t="str">
        <f t="shared" si="326"/>
        <v>Centre de Santé</v>
      </c>
      <c r="O1923" t="str">
        <f>"47"</f>
        <v>47</v>
      </c>
      <c r="P1923" t="str">
        <f>"Société Mutualiste"</f>
        <v>Société Mutualiste</v>
      </c>
      <c r="Q1923" t="str">
        <f t="shared" si="323"/>
        <v>36</v>
      </c>
      <c r="R1923" t="str">
        <f t="shared" si="324"/>
        <v>Tarifs conventionnels assurance maladie</v>
      </c>
      <c r="U1923" t="str">
        <f>"740787791"</f>
        <v>740787791</v>
      </c>
    </row>
    <row r="1924" spans="1:21" x14ac:dyDescent="0.3">
      <c r="A1924" t="str">
        <f>"750010118"</f>
        <v>750010118</v>
      </c>
      <c r="B1924" t="str">
        <f>"775 694 730 00257"</f>
        <v>775 694 730 00257</v>
      </c>
      <c r="D1924" t="str">
        <f>"CDS REAUMUR"</f>
        <v>CDS REAUMUR</v>
      </c>
      <c r="F1924" t="str">
        <f>"106 RUE DE REAUMUR"</f>
        <v>106 RUE DE REAUMUR</v>
      </c>
      <c r="H1924" t="str">
        <f>"75002"</f>
        <v>75002</v>
      </c>
      <c r="I1924" t="str">
        <f>"PARIS"</f>
        <v>PARIS</v>
      </c>
      <c r="J1924" t="str">
        <f>"01 55 80 56 20 "</f>
        <v xml:space="preserve">01 55 80 56 20 </v>
      </c>
      <c r="K1924" t="str">
        <f>"01 55 80 56 27"</f>
        <v>01 55 80 56 27</v>
      </c>
      <c r="L1924" s="1">
        <v>41627</v>
      </c>
      <c r="M1924" t="str">
        <f t="shared" si="325"/>
        <v>124</v>
      </c>
      <c r="N1924" t="str">
        <f t="shared" si="326"/>
        <v>Centre de Santé</v>
      </c>
      <c r="O1924" t="str">
        <f>"40"</f>
        <v>40</v>
      </c>
      <c r="P1924" t="str">
        <f>"Régime Général de Sécurité Sociale"</f>
        <v>Régime Général de Sécurité Sociale</v>
      </c>
      <c r="Q1924" t="str">
        <f t="shared" si="323"/>
        <v>36</v>
      </c>
      <c r="R1924" t="str">
        <f t="shared" si="324"/>
        <v>Tarifs conventionnels assurance maladie</v>
      </c>
      <c r="U1924" t="str">
        <f>"750720484"</f>
        <v>750720484</v>
      </c>
    </row>
    <row r="1925" spans="1:21" x14ac:dyDescent="0.3">
      <c r="A1925" t="str">
        <f>"750012494"</f>
        <v>750012494</v>
      </c>
      <c r="B1925" t="str">
        <f>"217 500 016 18300"</f>
        <v>217 500 016 18300</v>
      </c>
      <c r="D1925" t="str">
        <f>"CDS EDISON CTRE MS SERVICE CENTRAL"</f>
        <v>CDS EDISON CTRE MS SERVICE CENTRAL</v>
      </c>
      <c r="F1925" t="str">
        <f>"44 RUE CHARLES MOUREU"</f>
        <v>44 RUE CHARLES MOUREU</v>
      </c>
      <c r="H1925" t="str">
        <f>"75013"</f>
        <v>75013</v>
      </c>
      <c r="I1925" t="str">
        <f>"PARIS"</f>
        <v>PARIS</v>
      </c>
      <c r="J1925" t="str">
        <f>"01 44 97 87 40 "</f>
        <v xml:space="preserve">01 44 97 87 40 </v>
      </c>
      <c r="K1925" t="str">
        <f>"01 44 97 86 25"</f>
        <v>01 44 97 86 25</v>
      </c>
      <c r="L1925" s="1">
        <v>41627</v>
      </c>
      <c r="M1925" t="str">
        <f t="shared" si="325"/>
        <v>124</v>
      </c>
      <c r="N1925" t="str">
        <f t="shared" si="326"/>
        <v>Centre de Santé</v>
      </c>
      <c r="O1925" t="str">
        <f>"02"</f>
        <v>02</v>
      </c>
      <c r="P1925" t="str">
        <f>"Département"</f>
        <v>Département</v>
      </c>
      <c r="Q1925" t="str">
        <f t="shared" si="323"/>
        <v>36</v>
      </c>
      <c r="R1925" t="str">
        <f t="shared" si="324"/>
        <v>Tarifs conventionnels assurance maladie</v>
      </c>
      <c r="U1925" t="str">
        <f>"750002008"</f>
        <v>750002008</v>
      </c>
    </row>
    <row r="1926" spans="1:21" x14ac:dyDescent="0.3">
      <c r="A1926" t="str">
        <f>"770813954"</f>
        <v>770813954</v>
      </c>
      <c r="B1926" t="str">
        <f>"217 704 071 00117"</f>
        <v>217 704 071 00117</v>
      </c>
      <c r="D1926" t="str">
        <f>"CDS MUNICIPAL JEAN ROSTAND"</f>
        <v>CDS MUNICIPAL JEAN ROSTAND</v>
      </c>
      <c r="F1926" t="str">
        <f>"98 AVENUE DE FONTAINEBLEAU"</f>
        <v>98 AVENUE DE FONTAINEBLEAU</v>
      </c>
      <c r="H1926" t="str">
        <f>"77310"</f>
        <v>77310</v>
      </c>
      <c r="I1926" t="str">
        <f>"ST FARGEAU PONTHIERRY"</f>
        <v>ST FARGEAU PONTHIERRY</v>
      </c>
      <c r="J1926" t="str">
        <f>"01 60 65 81 50 "</f>
        <v xml:space="preserve">01 60 65 81 50 </v>
      </c>
      <c r="K1926" t="str">
        <f>"01 60 65 86 00"</f>
        <v>01 60 65 86 00</v>
      </c>
      <c r="L1926" s="1">
        <v>41627</v>
      </c>
      <c r="M1926" t="str">
        <f t="shared" si="325"/>
        <v>124</v>
      </c>
      <c r="N1926" t="str">
        <f t="shared" si="326"/>
        <v>Centre de Santé</v>
      </c>
      <c r="O1926" t="str">
        <f>"03"</f>
        <v>03</v>
      </c>
      <c r="P1926" t="str">
        <f>"Commune"</f>
        <v>Commune</v>
      </c>
      <c r="Q1926" t="str">
        <f t="shared" si="323"/>
        <v>36</v>
      </c>
      <c r="R1926" t="str">
        <f t="shared" si="324"/>
        <v>Tarifs conventionnels assurance maladie</v>
      </c>
      <c r="U1926" t="str">
        <f>"770807428"</f>
        <v>770807428</v>
      </c>
    </row>
    <row r="1927" spans="1:21" x14ac:dyDescent="0.3">
      <c r="A1927" t="str">
        <f>"780010039"</f>
        <v>780010039</v>
      </c>
      <c r="B1927" t="str">
        <f>"217 801 729 00294"</f>
        <v>217 801 729 00294</v>
      </c>
      <c r="D1927" t="str">
        <f>"CDS MUNICIPAL CONFLANS STE HONORINE"</f>
        <v>CDS MUNICIPAL CONFLANS STE HONORINE</v>
      </c>
      <c r="E1927" t="str">
        <f>"1-3"</f>
        <v>1-3</v>
      </c>
      <c r="F1927" t="str">
        <f>"1 RUE CHARLES BOURSEUL"</f>
        <v>1 RUE CHARLES BOURSEUL</v>
      </c>
      <c r="H1927" t="str">
        <f>"78700"</f>
        <v>78700</v>
      </c>
      <c r="I1927" t="str">
        <f>"CONFLANS STE HONORINE"</f>
        <v>CONFLANS STE HONORINE</v>
      </c>
      <c r="J1927" t="str">
        <f>"01 34 90 39 90 "</f>
        <v xml:space="preserve">01 34 90 39 90 </v>
      </c>
      <c r="L1927" s="1">
        <v>41627</v>
      </c>
      <c r="M1927" t="str">
        <f t="shared" si="325"/>
        <v>124</v>
      </c>
      <c r="N1927" t="str">
        <f t="shared" si="326"/>
        <v>Centre de Santé</v>
      </c>
      <c r="O1927" t="str">
        <f>"03"</f>
        <v>03</v>
      </c>
      <c r="P1927" t="str">
        <f>"Commune"</f>
        <v>Commune</v>
      </c>
      <c r="Q1927" t="str">
        <f t="shared" si="323"/>
        <v>36</v>
      </c>
      <c r="R1927" t="str">
        <f t="shared" si="324"/>
        <v>Tarifs conventionnels assurance maladie</v>
      </c>
      <c r="U1927" t="str">
        <f>"780808796"</f>
        <v>780808796</v>
      </c>
    </row>
    <row r="1928" spans="1:21" x14ac:dyDescent="0.3">
      <c r="A1928" t="str">
        <f>"780010054"</f>
        <v>780010054</v>
      </c>
      <c r="B1928" t="str">
        <f>"267 802 346 00028"</f>
        <v>267 802 346 00028</v>
      </c>
      <c r="D1928" t="str">
        <f>"CDS DE L'HÔPITAL DE HOUDAN"</f>
        <v>CDS DE L'HÔPITAL DE HOUDAN</v>
      </c>
      <c r="E1928" t="str">
        <f>"HOPITAL DE HOUDAN"</f>
        <v>HOPITAL DE HOUDAN</v>
      </c>
      <c r="F1928" t="str">
        <f>"42 RUE DE PARIS"</f>
        <v>42 RUE DE PARIS</v>
      </c>
      <c r="H1928" t="str">
        <f>"78550"</f>
        <v>78550</v>
      </c>
      <c r="I1928" t="str">
        <f>"HOUDAN"</f>
        <v>HOUDAN</v>
      </c>
      <c r="J1928" t="str">
        <f>"01 30 46 18 00 "</f>
        <v xml:space="preserve">01 30 46 18 00 </v>
      </c>
      <c r="K1928" t="str">
        <f>"01 30 46 18 59"</f>
        <v>01 30 46 18 59</v>
      </c>
      <c r="L1928" s="1">
        <v>41627</v>
      </c>
      <c r="M1928" t="str">
        <f t="shared" si="325"/>
        <v>124</v>
      </c>
      <c r="N1928" t="str">
        <f t="shared" si="326"/>
        <v>Centre de Santé</v>
      </c>
      <c r="O1928" t="str">
        <f>"12"</f>
        <v>12</v>
      </c>
      <c r="P1928" t="str">
        <f>"Etablissement Public Interdépartemental d'Hospitalisation"</f>
        <v>Etablissement Public Interdépartemental d'Hospitalisation</v>
      </c>
      <c r="Q1928" t="str">
        <f t="shared" si="323"/>
        <v>36</v>
      </c>
      <c r="R1928" t="str">
        <f t="shared" si="324"/>
        <v>Tarifs conventionnels assurance maladie</v>
      </c>
      <c r="U1928" t="str">
        <f>"780130027"</f>
        <v>780130027</v>
      </c>
    </row>
    <row r="1929" spans="1:21" x14ac:dyDescent="0.3">
      <c r="A1929" t="str">
        <f>"780010062"</f>
        <v>780010062</v>
      </c>
      <c r="B1929" t="str">
        <f>"785 074 899 00028"</f>
        <v>785 074 899 00028</v>
      </c>
      <c r="D1929" t="str">
        <f>"CDS VIVRE"</f>
        <v>CDS VIVRE</v>
      </c>
      <c r="F1929" t="str">
        <f>"21 RUE CAMILLE PELLETAN"</f>
        <v>21 RUE CAMILLE PELLETAN</v>
      </c>
      <c r="H1929" t="str">
        <f>"78800"</f>
        <v>78800</v>
      </c>
      <c r="I1929" t="str">
        <f>"HOUILLES"</f>
        <v>HOUILLES</v>
      </c>
      <c r="J1929" t="str">
        <f>"01 39 68 61 52 "</f>
        <v xml:space="preserve">01 39 68 61 52 </v>
      </c>
      <c r="K1929" t="str">
        <f>"01 39 68 55 60"</f>
        <v>01 39 68 55 60</v>
      </c>
      <c r="L1929" s="1">
        <v>41627</v>
      </c>
      <c r="M1929" t="str">
        <f t="shared" si="325"/>
        <v>124</v>
      </c>
      <c r="N1929" t="str">
        <f t="shared" si="326"/>
        <v>Centre de Santé</v>
      </c>
      <c r="O1929" t="str">
        <f>"47"</f>
        <v>47</v>
      </c>
      <c r="P1929" t="str">
        <f>"Société Mutualiste"</f>
        <v>Société Mutualiste</v>
      </c>
      <c r="Q1929" t="str">
        <f t="shared" si="323"/>
        <v>36</v>
      </c>
      <c r="R1929" t="str">
        <f t="shared" si="324"/>
        <v>Tarifs conventionnels assurance maladie</v>
      </c>
      <c r="U1929" t="str">
        <f>"780807574"</f>
        <v>780807574</v>
      </c>
    </row>
    <row r="1930" spans="1:21" x14ac:dyDescent="0.3">
      <c r="A1930" t="str">
        <f>"780020079"</f>
        <v>780020079</v>
      </c>
      <c r="B1930" t="str">
        <f>"323 532 267 00065"</f>
        <v>323 532 267 00065</v>
      </c>
      <c r="D1930" t="str">
        <f>"CDS CPAM DES YVELINES"</f>
        <v>CDS CPAM DES YVELINES</v>
      </c>
      <c r="F1930" t="str">
        <f>"92 AVENUE DE PARIS"</f>
        <v>92 AVENUE DE PARIS</v>
      </c>
      <c r="H1930" t="str">
        <f>"78014"</f>
        <v>78014</v>
      </c>
      <c r="I1930" t="str">
        <f>"VERSAILLES CEDEX"</f>
        <v>VERSAILLES CEDEX</v>
      </c>
      <c r="J1930" t="str">
        <f>"01 30 84 34 40 "</f>
        <v xml:space="preserve">01 30 84 34 40 </v>
      </c>
      <c r="K1930" t="str">
        <f>"01 30 84 34 13"</f>
        <v>01 30 84 34 13</v>
      </c>
      <c r="L1930" s="1">
        <v>41627</v>
      </c>
      <c r="M1930" t="str">
        <f t="shared" si="325"/>
        <v>124</v>
      </c>
      <c r="N1930" t="str">
        <f t="shared" si="326"/>
        <v>Centre de Santé</v>
      </c>
      <c r="O1930" t="str">
        <f>"40"</f>
        <v>40</v>
      </c>
      <c r="P1930" t="str">
        <f>"Régime Général de Sécurité Sociale"</f>
        <v>Régime Général de Sécurité Sociale</v>
      </c>
      <c r="Q1930" t="str">
        <f t="shared" si="323"/>
        <v>36</v>
      </c>
      <c r="R1930" t="str">
        <f t="shared" si="324"/>
        <v>Tarifs conventionnels assurance maladie</v>
      </c>
      <c r="U1930" t="str">
        <f>"780810024"</f>
        <v>780810024</v>
      </c>
    </row>
    <row r="1931" spans="1:21" x14ac:dyDescent="0.3">
      <c r="A1931" t="str">
        <f>"910010099"</f>
        <v>910010099</v>
      </c>
      <c r="B1931" t="str">
        <f>"269 100 467 00027"</f>
        <v>269 100 467 00027</v>
      </c>
      <c r="D1931" t="str">
        <f>"CDS MUNICIPAL DRAVEIL"</f>
        <v>CDS MUNICIPAL DRAVEIL</v>
      </c>
      <c r="F1931" t="str">
        <f>"1 RUE DE MAINVILLE"</f>
        <v>1 RUE DE MAINVILLE</v>
      </c>
      <c r="H1931" t="str">
        <f>"91210"</f>
        <v>91210</v>
      </c>
      <c r="I1931" t="str">
        <f>"DRAVEIL"</f>
        <v>DRAVEIL</v>
      </c>
      <c r="J1931" t="str">
        <f>"01 69 40 11 50 "</f>
        <v xml:space="preserve">01 69 40 11 50 </v>
      </c>
      <c r="L1931" s="1">
        <v>41627</v>
      </c>
      <c r="M1931" t="str">
        <f t="shared" si="325"/>
        <v>124</v>
      </c>
      <c r="N1931" t="str">
        <f t="shared" si="326"/>
        <v>Centre de Santé</v>
      </c>
      <c r="O1931" t="str">
        <f>"02"</f>
        <v>02</v>
      </c>
      <c r="P1931" t="str">
        <f>"Département"</f>
        <v>Département</v>
      </c>
      <c r="Q1931" t="str">
        <f t="shared" si="323"/>
        <v>36</v>
      </c>
      <c r="R1931" t="str">
        <f t="shared" si="324"/>
        <v>Tarifs conventionnels assurance maladie</v>
      </c>
      <c r="U1931" t="str">
        <f>"910807312"</f>
        <v>910807312</v>
      </c>
    </row>
    <row r="1932" spans="1:21" x14ac:dyDescent="0.3">
      <c r="A1932" t="str">
        <f>"910020130"</f>
        <v>910020130</v>
      </c>
      <c r="B1932" t="str">
        <f>"219 106 929 00314"</f>
        <v>219 106 929 00314</v>
      </c>
      <c r="D1932" t="str">
        <f>"CDS MUNICIPAL DES ULIS"</f>
        <v>CDS MUNICIPAL DES ULIS</v>
      </c>
      <c r="F1932" t="str">
        <f>"3 RUE DU MAINE"</f>
        <v>3 RUE DU MAINE</v>
      </c>
      <c r="H1932" t="str">
        <f>"91940"</f>
        <v>91940</v>
      </c>
      <c r="I1932" t="str">
        <f>"LES ULIS"</f>
        <v>LES ULIS</v>
      </c>
      <c r="J1932" t="str">
        <f>"01 70 56 50 06 "</f>
        <v xml:space="preserve">01 70 56 50 06 </v>
      </c>
      <c r="K1932" t="str">
        <f>"01 70 56 50 04"</f>
        <v>01 70 56 50 04</v>
      </c>
      <c r="L1932" s="1">
        <v>41627</v>
      </c>
      <c r="M1932" t="str">
        <f t="shared" si="325"/>
        <v>124</v>
      </c>
      <c r="N1932" t="str">
        <f t="shared" si="326"/>
        <v>Centre de Santé</v>
      </c>
      <c r="O1932" t="str">
        <f>"03"</f>
        <v>03</v>
      </c>
      <c r="P1932" t="str">
        <f>"Commune"</f>
        <v>Commune</v>
      </c>
      <c r="Q1932" t="str">
        <f t="shared" si="323"/>
        <v>36</v>
      </c>
      <c r="R1932" t="str">
        <f t="shared" si="324"/>
        <v>Tarifs conventionnels assurance maladie</v>
      </c>
      <c r="U1932" t="str">
        <f>"910806520"</f>
        <v>910806520</v>
      </c>
    </row>
    <row r="1933" spans="1:21" x14ac:dyDescent="0.3">
      <c r="A1933" t="str">
        <f>"920010063"</f>
        <v>920010063</v>
      </c>
      <c r="B1933" t="str">
        <f>"219 200 078 00240"</f>
        <v>219 200 078 00240</v>
      </c>
      <c r="D1933" t="str">
        <f>"CDS MUNICIPAL BAGNEUX"</f>
        <v>CDS MUNICIPAL BAGNEUX</v>
      </c>
      <c r="F1933" t="str">
        <f>"2 RUE LEO FERRE"</f>
        <v>2 RUE LEO FERRE</v>
      </c>
      <c r="H1933" t="str">
        <f>"92220"</f>
        <v>92220</v>
      </c>
      <c r="I1933" t="str">
        <f>"BAGNEUX"</f>
        <v>BAGNEUX</v>
      </c>
      <c r="J1933" t="str">
        <f>"01 45 36 13 60 "</f>
        <v xml:space="preserve">01 45 36 13 60 </v>
      </c>
      <c r="K1933" t="str">
        <f>"01 45 36 13 55"</f>
        <v>01 45 36 13 55</v>
      </c>
      <c r="L1933" s="1">
        <v>41627</v>
      </c>
      <c r="M1933" t="str">
        <f t="shared" si="325"/>
        <v>124</v>
      </c>
      <c r="N1933" t="str">
        <f t="shared" si="326"/>
        <v>Centre de Santé</v>
      </c>
      <c r="O1933" t="str">
        <f>"03"</f>
        <v>03</v>
      </c>
      <c r="P1933" t="str">
        <f>"Commune"</f>
        <v>Commune</v>
      </c>
      <c r="Q1933" t="str">
        <f t="shared" si="323"/>
        <v>36</v>
      </c>
      <c r="R1933" t="str">
        <f t="shared" si="324"/>
        <v>Tarifs conventionnels assurance maladie</v>
      </c>
      <c r="U1933" t="str">
        <f>"920807567"</f>
        <v>920807567</v>
      </c>
    </row>
    <row r="1934" spans="1:21" x14ac:dyDescent="0.3">
      <c r="A1934" t="str">
        <f>"920010105"</f>
        <v>920010105</v>
      </c>
      <c r="B1934" t="str">
        <f>"775 672 272 33422"</f>
        <v>775 672 272 33422</v>
      </c>
      <c r="D1934" t="str">
        <f>"CDS MEDICAL CROIX ROUGE FRANCAISE"</f>
        <v>CDS MEDICAL CROIX ROUGE FRANCAISE</v>
      </c>
      <c r="F1934" t="str">
        <f>"99 RUE DU DOME"</f>
        <v>99 RUE DU DOME</v>
      </c>
      <c r="H1934" t="str">
        <f>"92100"</f>
        <v>92100</v>
      </c>
      <c r="I1934" t="str">
        <f>"BOULOGNE BILLANCOURT"</f>
        <v>BOULOGNE BILLANCOURT</v>
      </c>
      <c r="J1934" t="str">
        <f>"01 46 21 04 54 "</f>
        <v xml:space="preserve">01 46 21 04 54 </v>
      </c>
      <c r="K1934" t="str">
        <f>"01 46 94 08 90"</f>
        <v>01 46 94 08 90</v>
      </c>
      <c r="L1934" s="1">
        <v>41627</v>
      </c>
      <c r="M1934" t="str">
        <f t="shared" si="325"/>
        <v>124</v>
      </c>
      <c r="N1934" t="str">
        <f t="shared" si="326"/>
        <v>Centre de Santé</v>
      </c>
      <c r="O1934" t="str">
        <f>"61"</f>
        <v>61</v>
      </c>
      <c r="P1934" t="str">
        <f>"Association Loi 1901 Reconnue d'Utilité Publique"</f>
        <v>Association Loi 1901 Reconnue d'Utilité Publique</v>
      </c>
      <c r="Q1934" t="str">
        <f t="shared" si="323"/>
        <v>36</v>
      </c>
      <c r="R1934" t="str">
        <f t="shared" si="324"/>
        <v>Tarifs conventionnels assurance maladie</v>
      </c>
      <c r="U1934" t="str">
        <f>"750721334"</f>
        <v>750721334</v>
      </c>
    </row>
    <row r="1935" spans="1:21" x14ac:dyDescent="0.3">
      <c r="A1935" t="str">
        <f>"920010204"</f>
        <v>920010204</v>
      </c>
      <c r="B1935" t="str">
        <f>"332 251 610 00033"</f>
        <v>332 251 610 00033</v>
      </c>
      <c r="D1935" t="str">
        <f>"CDS DE L ONERA"</f>
        <v>CDS DE L ONERA</v>
      </c>
      <c r="F1935" t="str">
        <f>"29 AVENUE DE LA DIVISION LECLERC"</f>
        <v>29 AVENUE DE LA DIVISION LECLERC</v>
      </c>
      <c r="H1935" t="str">
        <f>"92320"</f>
        <v>92320</v>
      </c>
      <c r="I1935" t="str">
        <f>"CHATILLON"</f>
        <v>CHATILLON</v>
      </c>
      <c r="J1935" t="str">
        <f>"01 42 53 45 02 "</f>
        <v xml:space="preserve">01 42 53 45 02 </v>
      </c>
      <c r="K1935" t="str">
        <f>"01 46 55 70 79"</f>
        <v>01 46 55 70 79</v>
      </c>
      <c r="L1935" s="1">
        <v>41627</v>
      </c>
      <c r="M1935" t="str">
        <f t="shared" si="325"/>
        <v>124</v>
      </c>
      <c r="N1935" t="str">
        <f t="shared" si="326"/>
        <v>Centre de Santé</v>
      </c>
      <c r="O1935" t="str">
        <f>"50"</f>
        <v>50</v>
      </c>
      <c r="P1935" t="str">
        <f>"Comité d'Entreprise ou Comité d'Etablissement"</f>
        <v>Comité d'Entreprise ou Comité d'Etablissement</v>
      </c>
      <c r="Q1935" t="str">
        <f t="shared" si="323"/>
        <v>36</v>
      </c>
      <c r="R1935" t="str">
        <f t="shared" si="324"/>
        <v>Tarifs conventionnels assurance maladie</v>
      </c>
      <c r="U1935" t="str">
        <f>"920000437"</f>
        <v>920000437</v>
      </c>
    </row>
    <row r="1936" spans="1:21" x14ac:dyDescent="0.3">
      <c r="A1936" t="str">
        <f>"920010212"</f>
        <v>920010212</v>
      </c>
      <c r="B1936" t="str">
        <f>"219 200 201 00016"</f>
        <v>219 200 201 00016</v>
      </c>
      <c r="D1936" t="str">
        <f>"CDS MUNICIPAL DE CHATILLON"</f>
        <v>CDS MUNICIPAL DE CHATILLON</v>
      </c>
      <c r="F1936" t="str">
        <f>"79 RUE PIERRE SEMARD"</f>
        <v>79 RUE PIERRE SEMARD</v>
      </c>
      <c r="H1936" t="str">
        <f>"92320"</f>
        <v>92320</v>
      </c>
      <c r="I1936" t="str">
        <f>"CHATILLON"</f>
        <v>CHATILLON</v>
      </c>
      <c r="J1936" t="str">
        <f>"01 58 07 24 70 "</f>
        <v xml:space="preserve">01 58 07 24 70 </v>
      </c>
      <c r="K1936" t="str">
        <f>"01 58 07 24 71"</f>
        <v>01 58 07 24 71</v>
      </c>
      <c r="L1936" s="1">
        <v>41627</v>
      </c>
      <c r="M1936" t="str">
        <f t="shared" si="325"/>
        <v>124</v>
      </c>
      <c r="N1936" t="str">
        <f t="shared" si="326"/>
        <v>Centre de Santé</v>
      </c>
      <c r="O1936" t="str">
        <f>"03"</f>
        <v>03</v>
      </c>
      <c r="P1936" t="str">
        <f>"Commune"</f>
        <v>Commune</v>
      </c>
      <c r="Q1936" t="str">
        <f t="shared" si="323"/>
        <v>36</v>
      </c>
      <c r="R1936" t="str">
        <f t="shared" si="324"/>
        <v>Tarifs conventionnels assurance maladie</v>
      </c>
      <c r="U1936" t="str">
        <f>"920807617"</f>
        <v>920807617</v>
      </c>
    </row>
    <row r="1937" spans="1:21" x14ac:dyDescent="0.3">
      <c r="A1937" t="str">
        <f>"920010352"</f>
        <v>920010352</v>
      </c>
      <c r="B1937" t="str">
        <f>"269 200 416 00098"</f>
        <v>269 200 416 00098</v>
      </c>
      <c r="D1937" t="str">
        <f>"CDS MUNICIPAL ISSY LES MOULINEAUX"</f>
        <v>CDS MUNICIPAL ISSY LES MOULINEAUX</v>
      </c>
      <c r="F1937" t="str">
        <f>"27 AVENUE VICTOR CRESSON"</f>
        <v>27 AVENUE VICTOR CRESSON</v>
      </c>
      <c r="H1937" t="str">
        <f>"92130"</f>
        <v>92130</v>
      </c>
      <c r="I1937" t="str">
        <f>"ISSY LES MOULINEAUX"</f>
        <v>ISSY LES MOULINEAUX</v>
      </c>
      <c r="J1937" t="str">
        <f>"01 41 23 83 00 "</f>
        <v xml:space="preserve">01 41 23 83 00 </v>
      </c>
      <c r="K1937" t="str">
        <f>"01 41 23 86 76"</f>
        <v>01 41 23 86 76</v>
      </c>
      <c r="L1937" s="1">
        <v>41627</v>
      </c>
      <c r="M1937" t="str">
        <f t="shared" si="325"/>
        <v>124</v>
      </c>
      <c r="N1937" t="str">
        <f t="shared" si="326"/>
        <v>Centre de Santé</v>
      </c>
      <c r="O1937" t="str">
        <f>"17"</f>
        <v>17</v>
      </c>
      <c r="P1937" t="str">
        <f>"Centre Communal d'Action Sociale"</f>
        <v>Centre Communal d'Action Sociale</v>
      </c>
      <c r="Q1937" t="str">
        <f t="shared" si="323"/>
        <v>36</v>
      </c>
      <c r="R1937" t="str">
        <f t="shared" si="324"/>
        <v>Tarifs conventionnels assurance maladie</v>
      </c>
      <c r="U1937" t="str">
        <f>"920807716"</f>
        <v>920807716</v>
      </c>
    </row>
    <row r="1938" spans="1:21" x14ac:dyDescent="0.3">
      <c r="A1938" t="str">
        <f>"920010485"</f>
        <v>920010485</v>
      </c>
      <c r="B1938" t="str">
        <f>"775 672 272 29818"</f>
        <v>775 672 272 29818</v>
      </c>
      <c r="D1938" t="str">
        <f>"CDS MEDICAL ET DENTAIRE MEUDON"</f>
        <v>CDS MEDICAL ET DENTAIRE MEUDON</v>
      </c>
      <c r="F1938" t="str">
        <f>"103 RUE HENRIE BARBUSSE"</f>
        <v>103 RUE HENRIE BARBUSSE</v>
      </c>
      <c r="H1938" t="str">
        <f>"92190"</f>
        <v>92190</v>
      </c>
      <c r="I1938" t="str">
        <f>"MEUDON"</f>
        <v>MEUDON</v>
      </c>
      <c r="J1938" t="str">
        <f>"01 46 29 04 20 "</f>
        <v xml:space="preserve">01 46 29 04 20 </v>
      </c>
      <c r="K1938" t="str">
        <f>"01 46 26 24 69"</f>
        <v>01 46 26 24 69</v>
      </c>
      <c r="L1938" s="1">
        <v>41627</v>
      </c>
      <c r="M1938" t="str">
        <f t="shared" si="325"/>
        <v>124</v>
      </c>
      <c r="N1938" t="str">
        <f t="shared" si="326"/>
        <v>Centre de Santé</v>
      </c>
      <c r="O1938" t="str">
        <f>"61"</f>
        <v>61</v>
      </c>
      <c r="P1938" t="str">
        <f>"Association Loi 1901 Reconnue d'Utilité Publique"</f>
        <v>Association Loi 1901 Reconnue d'Utilité Publique</v>
      </c>
      <c r="Q1938" t="str">
        <f t="shared" si="323"/>
        <v>36</v>
      </c>
      <c r="R1938" t="str">
        <f t="shared" si="324"/>
        <v>Tarifs conventionnels assurance maladie</v>
      </c>
      <c r="U1938" t="str">
        <f>"750721334"</f>
        <v>750721334</v>
      </c>
    </row>
    <row r="1939" spans="1:21" x14ac:dyDescent="0.3">
      <c r="A1939" t="str">
        <f>"920010501"</f>
        <v>920010501</v>
      </c>
      <c r="B1939" t="str">
        <f>"269 200 465 00038"</f>
        <v>269 200 465 00038</v>
      </c>
      <c r="D1939" t="str">
        <f>"CDS MAURICE THOREZ"</f>
        <v>CDS MAURICE THOREZ</v>
      </c>
      <c r="F1939" t="str">
        <f>"18 RUE MAURICE THOREZ"</f>
        <v>18 RUE MAURICE THOREZ</v>
      </c>
      <c r="H1939" t="str">
        <f>"92000"</f>
        <v>92000</v>
      </c>
      <c r="I1939" t="str">
        <f>"NANTERRE"</f>
        <v>NANTERRE</v>
      </c>
      <c r="J1939" t="str">
        <f>"01 41 37 58 88 "</f>
        <v xml:space="preserve">01 41 37 58 88 </v>
      </c>
      <c r="K1939" t="str">
        <f>"01 41 37 58 98"</f>
        <v>01 41 37 58 98</v>
      </c>
      <c r="L1939" s="1">
        <v>41627</v>
      </c>
      <c r="M1939" t="str">
        <f t="shared" si="325"/>
        <v>124</v>
      </c>
      <c r="N1939" t="str">
        <f t="shared" si="326"/>
        <v>Centre de Santé</v>
      </c>
      <c r="O1939" t="str">
        <f>"17"</f>
        <v>17</v>
      </c>
      <c r="P1939" t="str">
        <f>"Centre Communal d'Action Sociale"</f>
        <v>Centre Communal d'Action Sociale</v>
      </c>
      <c r="Q1939" t="str">
        <f t="shared" si="323"/>
        <v>36</v>
      </c>
      <c r="R1939" t="str">
        <f t="shared" si="324"/>
        <v>Tarifs conventionnels assurance maladie</v>
      </c>
      <c r="U1939" t="str">
        <f>"920807773"</f>
        <v>920807773</v>
      </c>
    </row>
    <row r="1940" spans="1:21" x14ac:dyDescent="0.3">
      <c r="A1940" t="str">
        <f>"920010576"</f>
        <v>920010576</v>
      </c>
      <c r="B1940" t="str">
        <f>"269 200 481 00035"</f>
        <v>269 200 481 00035</v>
      </c>
      <c r="D1940" t="str">
        <f>"CDS MINICIPAL J SALOMON"</f>
        <v>CDS MINICIPAL J SALOMON</v>
      </c>
      <c r="F1940" t="str">
        <f>"1 VILLA DES CAMELIAS"</f>
        <v>1 VILLA DES CAMELIAS</v>
      </c>
      <c r="H1940" t="str">
        <f>"92350"</f>
        <v>92350</v>
      </c>
      <c r="I1940" t="str">
        <f>"LE PLESSIS ROBINSON"</f>
        <v>LE PLESSIS ROBINSON</v>
      </c>
      <c r="J1940" t="str">
        <f>"01 46 01 44 80 "</f>
        <v xml:space="preserve">01 46 01 44 80 </v>
      </c>
      <c r="K1940" t="str">
        <f>"01 46 01 44 88"</f>
        <v>01 46 01 44 88</v>
      </c>
      <c r="L1940" s="1">
        <v>41627</v>
      </c>
      <c r="M1940" t="str">
        <f t="shared" si="325"/>
        <v>124</v>
      </c>
      <c r="N1940" t="str">
        <f t="shared" si="326"/>
        <v>Centre de Santé</v>
      </c>
      <c r="O1940" t="str">
        <f>"17"</f>
        <v>17</v>
      </c>
      <c r="P1940" t="str">
        <f>"Centre Communal d'Action Sociale"</f>
        <v>Centre Communal d'Action Sociale</v>
      </c>
      <c r="Q1940" t="str">
        <f t="shared" si="323"/>
        <v>36</v>
      </c>
      <c r="R1940" t="str">
        <f t="shared" si="324"/>
        <v>Tarifs conventionnels assurance maladie</v>
      </c>
      <c r="U1940" t="str">
        <f>"920807799"</f>
        <v>920807799</v>
      </c>
    </row>
    <row r="1941" spans="1:21" x14ac:dyDescent="0.3">
      <c r="A1941" t="str">
        <f>"920010626"</f>
        <v>920010626</v>
      </c>
      <c r="B1941" t="str">
        <f>"269 200 549 00062"</f>
        <v>269 200 549 00062</v>
      </c>
      <c r="D1941" t="str">
        <f>"CDS MUNICIPAL RAYMOND BURGOS"</f>
        <v>CDS MUNICIPAL RAYMOND BURGOS</v>
      </c>
      <c r="F1941" t="str">
        <f>"12 RUE CARNOT"</f>
        <v>12 RUE CARNOT</v>
      </c>
      <c r="H1941" t="str">
        <f>"92150"</f>
        <v>92150</v>
      </c>
      <c r="I1941" t="str">
        <f>"SURESNES"</f>
        <v>SURESNES</v>
      </c>
      <c r="J1941" t="str">
        <f>"01 41 18 15 50 "</f>
        <v xml:space="preserve">01 41 18 15 50 </v>
      </c>
      <c r="K1941" t="str">
        <f>"01 41 18 19 72"</f>
        <v>01 41 18 19 72</v>
      </c>
      <c r="L1941" s="1">
        <v>41627</v>
      </c>
      <c r="M1941" t="str">
        <f t="shared" si="325"/>
        <v>124</v>
      </c>
      <c r="N1941" t="str">
        <f t="shared" si="326"/>
        <v>Centre de Santé</v>
      </c>
      <c r="O1941" t="str">
        <f>"17"</f>
        <v>17</v>
      </c>
      <c r="P1941" t="str">
        <f>"Centre Communal d'Action Sociale"</f>
        <v>Centre Communal d'Action Sociale</v>
      </c>
      <c r="Q1941" t="str">
        <f t="shared" si="323"/>
        <v>36</v>
      </c>
      <c r="R1941" t="str">
        <f t="shared" si="324"/>
        <v>Tarifs conventionnels assurance maladie</v>
      </c>
      <c r="U1941" t="str">
        <f>"920807856"</f>
        <v>920807856</v>
      </c>
    </row>
    <row r="1942" spans="1:21" x14ac:dyDescent="0.3">
      <c r="A1942" t="str">
        <f>"920010709"</f>
        <v>920010709</v>
      </c>
      <c r="B1942" t="str">
        <f>"269 200 499 00037"</f>
        <v>269 200 499 00037</v>
      </c>
      <c r="D1942" t="str">
        <f>"CDS MUNICIPAL PUTEAUX"</f>
        <v>CDS MUNICIPAL PUTEAUX</v>
      </c>
      <c r="E1942" t="str">
        <f>"26-30"</f>
        <v>26-30</v>
      </c>
      <c r="F1942" t="str">
        <f>"30 RUE ANATOLE FRANCE"</f>
        <v>30 RUE ANATOLE FRANCE</v>
      </c>
      <c r="H1942" t="str">
        <f>"92800"</f>
        <v>92800</v>
      </c>
      <c r="I1942" t="str">
        <f>"PUTEAUX"</f>
        <v>PUTEAUX</v>
      </c>
      <c r="J1942" t="str">
        <f>"01 47 75 20 20 "</f>
        <v xml:space="preserve">01 47 75 20 20 </v>
      </c>
      <c r="K1942" t="str">
        <f>"01 46 98 02 79"</f>
        <v>01 46 98 02 79</v>
      </c>
      <c r="L1942" s="1">
        <v>41627</v>
      </c>
      <c r="M1942" t="str">
        <f t="shared" si="325"/>
        <v>124</v>
      </c>
      <c r="N1942" t="str">
        <f t="shared" si="326"/>
        <v>Centre de Santé</v>
      </c>
      <c r="O1942" t="str">
        <f>"17"</f>
        <v>17</v>
      </c>
      <c r="P1942" t="str">
        <f>"Centre Communal d'Action Sociale"</f>
        <v>Centre Communal d'Action Sociale</v>
      </c>
      <c r="Q1942" t="str">
        <f t="shared" si="323"/>
        <v>36</v>
      </c>
      <c r="R1942" t="str">
        <f t="shared" si="324"/>
        <v>Tarifs conventionnels assurance maladie</v>
      </c>
      <c r="U1942" t="str">
        <f>"920802360"</f>
        <v>920802360</v>
      </c>
    </row>
    <row r="1943" spans="1:21" x14ac:dyDescent="0.3">
      <c r="A1943" t="str">
        <f>"920010857"</f>
        <v>920010857</v>
      </c>
      <c r="B1943" t="str">
        <f>"269 200 465 00095"</f>
        <v>269 200 465 00095</v>
      </c>
      <c r="D1943" t="str">
        <f>"CDS MUNICIPAL DU PARC"</f>
        <v>CDS MUNICIPAL DU PARC</v>
      </c>
      <c r="F1943" t="str">
        <f>"79 AVENUE PABLO PICASSO"</f>
        <v>79 AVENUE PABLO PICASSO</v>
      </c>
      <c r="H1943" t="str">
        <f>"92000"</f>
        <v>92000</v>
      </c>
      <c r="I1943" t="str">
        <f>"NANTERRE"</f>
        <v>NANTERRE</v>
      </c>
      <c r="J1943" t="str">
        <f>"01 47 29 50 71 "</f>
        <v xml:space="preserve">01 47 29 50 71 </v>
      </c>
      <c r="K1943" t="str">
        <f>"01 47 76 41 77"</f>
        <v>01 47 76 41 77</v>
      </c>
      <c r="L1943" s="1">
        <v>41627</v>
      </c>
      <c r="M1943" t="str">
        <f t="shared" si="325"/>
        <v>124</v>
      </c>
      <c r="N1943" t="str">
        <f t="shared" si="326"/>
        <v>Centre de Santé</v>
      </c>
      <c r="O1943" t="str">
        <f>"17"</f>
        <v>17</v>
      </c>
      <c r="P1943" t="str">
        <f>"Centre Communal d'Action Sociale"</f>
        <v>Centre Communal d'Action Sociale</v>
      </c>
      <c r="Q1943" t="str">
        <f t="shared" si="323"/>
        <v>36</v>
      </c>
      <c r="R1943" t="str">
        <f t="shared" si="324"/>
        <v>Tarifs conventionnels assurance maladie</v>
      </c>
      <c r="U1943" t="str">
        <f>"920807773"</f>
        <v>920807773</v>
      </c>
    </row>
    <row r="1944" spans="1:21" x14ac:dyDescent="0.3">
      <c r="A1944" t="str">
        <f>"930010681"</f>
        <v>930010681</v>
      </c>
      <c r="B1944" t="str">
        <f>"785 646 571 00014"</f>
        <v>785 646 571 00014</v>
      </c>
      <c r="D1944" t="str">
        <f>"CDS MARCEL HANRA"</f>
        <v>CDS MARCEL HANRA</v>
      </c>
      <c r="F1944" t="str">
        <f>"1 RUE CIRCULAIRE HENRI JOUSSEAUME"</f>
        <v>1 RUE CIRCULAIRE HENRI JOUSSEAUME</v>
      </c>
      <c r="H1944" t="str">
        <f>"93250"</f>
        <v>93250</v>
      </c>
      <c r="I1944" t="str">
        <f>"VILLEMOMBLE"</f>
        <v>VILLEMOMBLE</v>
      </c>
      <c r="J1944" t="str">
        <f>"01 45 28 80 80 "</f>
        <v xml:space="preserve">01 45 28 80 80 </v>
      </c>
      <c r="K1944" t="str">
        <f>"01 45 28 41 55"</f>
        <v>01 45 28 41 55</v>
      </c>
      <c r="L1944" s="1">
        <v>41627</v>
      </c>
      <c r="M1944" t="str">
        <f t="shared" si="325"/>
        <v>124</v>
      </c>
      <c r="N1944" t="str">
        <f t="shared" si="326"/>
        <v>Centre de Santé</v>
      </c>
      <c r="O1944" t="str">
        <f>"61"</f>
        <v>61</v>
      </c>
      <c r="P1944" t="str">
        <f>"Association Loi 1901 Reconnue d'Utilité Publique"</f>
        <v>Association Loi 1901 Reconnue d'Utilité Publique</v>
      </c>
      <c r="Q1944" t="str">
        <f t="shared" si="323"/>
        <v>36</v>
      </c>
      <c r="R1944" t="str">
        <f t="shared" si="324"/>
        <v>Tarifs conventionnels assurance maladie</v>
      </c>
      <c r="U1944" t="str">
        <f>"930000260"</f>
        <v>930000260</v>
      </c>
    </row>
    <row r="1945" spans="1:21" x14ac:dyDescent="0.3">
      <c r="A1945" t="str">
        <f>"930010814"</f>
        <v>930010814</v>
      </c>
      <c r="B1945" t="str">
        <f>"219 300 308 00109"</f>
        <v>219 300 308 00109</v>
      </c>
      <c r="D1945" t="str">
        <f>"CDS MUNICIPAL DUGNY"</f>
        <v>CDS MUNICIPAL DUGNY</v>
      </c>
      <c r="F1945" t="str">
        <f>"8 RUE NEIBECKER"</f>
        <v>8 RUE NEIBECKER</v>
      </c>
      <c r="H1945" t="str">
        <f>"93440"</f>
        <v>93440</v>
      </c>
      <c r="I1945" t="str">
        <f>"DUGNY"</f>
        <v>DUGNY</v>
      </c>
      <c r="J1945" t="str">
        <f>"01 49 92 66 66 "</f>
        <v xml:space="preserve">01 49 92 66 66 </v>
      </c>
      <c r="K1945" t="str">
        <f>"01 49 92 66 06"</f>
        <v>01 49 92 66 06</v>
      </c>
      <c r="L1945" s="1">
        <v>41627</v>
      </c>
      <c r="M1945" t="str">
        <f t="shared" si="325"/>
        <v>124</v>
      </c>
      <c r="N1945" t="str">
        <f t="shared" si="326"/>
        <v>Centre de Santé</v>
      </c>
      <c r="O1945" t="str">
        <f>"03"</f>
        <v>03</v>
      </c>
      <c r="P1945" t="str">
        <f>"Commune"</f>
        <v>Commune</v>
      </c>
      <c r="Q1945" t="str">
        <f t="shared" si="323"/>
        <v>36</v>
      </c>
      <c r="R1945" t="str">
        <f t="shared" si="324"/>
        <v>Tarifs conventionnels assurance maladie</v>
      </c>
      <c r="U1945" t="str">
        <f>"930812979"</f>
        <v>930812979</v>
      </c>
    </row>
    <row r="1946" spans="1:21" x14ac:dyDescent="0.3">
      <c r="A1946" t="str">
        <f>"940010051"</f>
        <v>940010051</v>
      </c>
      <c r="B1946" t="str">
        <f>"219 400 165 00185"</f>
        <v>219 400 165 00185</v>
      </c>
      <c r="D1946" t="str">
        <f>"CDS MEDICAL ET DENTAIRE GEORGES GRUN"</f>
        <v>CDS MEDICAL ET DENTAIRE GEORGES GRUN</v>
      </c>
      <c r="F1946" t="str">
        <f>"7 AVENUE COUSIN DE MERICOURT"</f>
        <v>7 AVENUE COUSIN DE MERICOURT</v>
      </c>
      <c r="H1946" t="str">
        <f>"94230"</f>
        <v>94230</v>
      </c>
      <c r="I1946" t="str">
        <f>"CACHAN"</f>
        <v>CACHAN</v>
      </c>
      <c r="J1946" t="str">
        <f>"01 49 69 61 40 "</f>
        <v xml:space="preserve">01 49 69 61 40 </v>
      </c>
      <c r="K1946" t="str">
        <f>"01 45 47 57 36"</f>
        <v>01 45 47 57 36</v>
      </c>
      <c r="L1946" s="1">
        <v>41627</v>
      </c>
      <c r="M1946" t="str">
        <f t="shared" si="325"/>
        <v>124</v>
      </c>
      <c r="N1946" t="str">
        <f t="shared" si="326"/>
        <v>Centre de Santé</v>
      </c>
      <c r="O1946" t="str">
        <f>"17"</f>
        <v>17</v>
      </c>
      <c r="P1946" t="str">
        <f>"Centre Communal d'Action Sociale"</f>
        <v>Centre Communal d'Action Sociale</v>
      </c>
      <c r="Q1946" t="str">
        <f t="shared" si="323"/>
        <v>36</v>
      </c>
      <c r="R1946" t="str">
        <f t="shared" si="324"/>
        <v>Tarifs conventionnels assurance maladie</v>
      </c>
      <c r="U1946" t="str">
        <f>"940807159"</f>
        <v>940807159</v>
      </c>
    </row>
    <row r="1947" spans="1:21" x14ac:dyDescent="0.3">
      <c r="A1947" t="str">
        <f>"940010077"</f>
        <v>940010077</v>
      </c>
      <c r="B1947" t="str">
        <f>"219 400 173 00015"</f>
        <v>219 400 173 00015</v>
      </c>
      <c r="D1947" t="str">
        <f>"CDS MUNICIPAL PIERRE ROUQUES"</f>
        <v>CDS MUNICIPAL PIERRE ROUQUES</v>
      </c>
      <c r="F1947" t="str">
        <f>"5 RUE DE L ABREUVOIR"</f>
        <v>5 RUE DE L ABREUVOIR</v>
      </c>
      <c r="H1947" t="str">
        <f>"94500"</f>
        <v>94500</v>
      </c>
      <c r="I1947" t="str">
        <f>"CHAMPIGNY SUR MARNE"</f>
        <v>CHAMPIGNY SUR MARNE</v>
      </c>
      <c r="J1947" t="str">
        <f>"01 45 16 81 13 "</f>
        <v xml:space="preserve">01 45 16 81 13 </v>
      </c>
      <c r="K1947" t="str">
        <f>"01 45 16 81 17"</f>
        <v>01 45 16 81 17</v>
      </c>
      <c r="L1947" s="1">
        <v>41627</v>
      </c>
      <c r="M1947" t="str">
        <f t="shared" si="325"/>
        <v>124</v>
      </c>
      <c r="N1947" t="str">
        <f t="shared" si="326"/>
        <v>Centre de Santé</v>
      </c>
      <c r="O1947" t="str">
        <f>"03"</f>
        <v>03</v>
      </c>
      <c r="P1947" t="str">
        <f>"Commune"</f>
        <v>Commune</v>
      </c>
      <c r="Q1947" t="str">
        <f t="shared" si="323"/>
        <v>36</v>
      </c>
      <c r="R1947" t="str">
        <f t="shared" si="324"/>
        <v>Tarifs conventionnels assurance maladie</v>
      </c>
      <c r="U1947" t="str">
        <f>"940806649"</f>
        <v>940806649</v>
      </c>
    </row>
    <row r="1948" spans="1:21" x14ac:dyDescent="0.3">
      <c r="A1948" t="str">
        <f>"940010101"</f>
        <v>940010101</v>
      </c>
      <c r="B1948" t="str">
        <f>"323 914 143 00116"</f>
        <v>323 914 143 00116</v>
      </c>
      <c r="D1948" t="str">
        <f>"CDS DE LA CPAM"</f>
        <v>CDS DE LA CPAM</v>
      </c>
      <c r="F1948" t="str">
        <f>"9 RUE LEDRU ROLLIN"</f>
        <v>9 RUE LEDRU ROLLIN</v>
      </c>
      <c r="H1948" t="str">
        <f>"94600"</f>
        <v>94600</v>
      </c>
      <c r="I1948" t="str">
        <f>"CHOISY LE ROI"</f>
        <v>CHOISY LE ROI</v>
      </c>
      <c r="J1948" t="str">
        <f>"01 48 53 65 80 "</f>
        <v xml:space="preserve">01 48 53 65 80 </v>
      </c>
      <c r="K1948" t="str">
        <f>"01 48 86 13 83"</f>
        <v>01 48 86 13 83</v>
      </c>
      <c r="L1948" s="1">
        <v>41627</v>
      </c>
      <c r="M1948" t="str">
        <f t="shared" si="325"/>
        <v>124</v>
      </c>
      <c r="N1948" t="str">
        <f t="shared" si="326"/>
        <v>Centre de Santé</v>
      </c>
      <c r="O1948" t="str">
        <f>"40"</f>
        <v>40</v>
      </c>
      <c r="P1948" t="str">
        <f>"Régime Général de Sécurité Sociale"</f>
        <v>Régime Général de Sécurité Sociale</v>
      </c>
      <c r="Q1948" t="str">
        <f t="shared" si="323"/>
        <v>36</v>
      </c>
      <c r="R1948" t="str">
        <f t="shared" si="324"/>
        <v>Tarifs conventionnels assurance maladie</v>
      </c>
      <c r="U1948" t="str">
        <f>"940809304"</f>
        <v>940809304</v>
      </c>
    </row>
    <row r="1949" spans="1:21" x14ac:dyDescent="0.3">
      <c r="A1949" t="str">
        <f>"950010165"</f>
        <v>950010165</v>
      </c>
      <c r="B1949" t="str">
        <f>"219 502 804 00301"</f>
        <v>219 502 804 00301</v>
      </c>
      <c r="D1949" t="str">
        <f>"CDS MUNICIPAL PIERRE ROUQUES"</f>
        <v>CDS MUNICIPAL PIERRE ROUQUES</v>
      </c>
      <c r="F1949" t="str">
        <f>"2 RUE DE LATTRE DE TASSIGNY"</f>
        <v>2 RUE DE LATTRE DE TASSIGNY</v>
      </c>
      <c r="H1949" t="str">
        <f>"95190"</f>
        <v>95190</v>
      </c>
      <c r="I1949" t="str">
        <f>"GOUSSAINVILLE"</f>
        <v>GOUSSAINVILLE</v>
      </c>
      <c r="J1949" t="str">
        <f>"01 39 88 76 44 "</f>
        <v xml:space="preserve">01 39 88 76 44 </v>
      </c>
      <c r="K1949" t="str">
        <f>"01 39 92 95 43"</f>
        <v>01 39 92 95 43</v>
      </c>
      <c r="L1949" s="1">
        <v>41627</v>
      </c>
      <c r="M1949" t="str">
        <f t="shared" si="325"/>
        <v>124</v>
      </c>
      <c r="N1949" t="str">
        <f t="shared" si="326"/>
        <v>Centre de Santé</v>
      </c>
      <c r="O1949" t="str">
        <f>"03"</f>
        <v>03</v>
      </c>
      <c r="P1949" t="str">
        <f>"Commune"</f>
        <v>Commune</v>
      </c>
      <c r="Q1949" t="str">
        <f t="shared" si="323"/>
        <v>36</v>
      </c>
      <c r="R1949" t="str">
        <f t="shared" si="324"/>
        <v>Tarifs conventionnels assurance maladie</v>
      </c>
      <c r="U1949" t="str">
        <f>"950803130"</f>
        <v>950803130</v>
      </c>
    </row>
    <row r="1950" spans="1:21" x14ac:dyDescent="0.3">
      <c r="A1950" t="str">
        <f>"340021401"</f>
        <v>340021401</v>
      </c>
      <c r="B1950" t="str">
        <f>"813 179 793 00159"</f>
        <v>813 179 793 00159</v>
      </c>
      <c r="D1950" t="str">
        <f>"CDS DENTAIRE MFGS SSAM MONTPELLIER"</f>
        <v>CDS DENTAIRE MFGS SSAM MONTPELLIER</v>
      </c>
      <c r="E1950" t="str">
        <f>"QUARTIER DES GRISETTES"</f>
        <v>QUARTIER DES GRISETTES</v>
      </c>
      <c r="F1950" t="str">
        <f>"232 AVENUE DES BERGAMOTES"</f>
        <v>232 AVENUE DES BERGAMOTES</v>
      </c>
      <c r="H1950" t="str">
        <f>"34000"</f>
        <v>34000</v>
      </c>
      <c r="I1950" t="str">
        <f>"MONTPELLIER"</f>
        <v>MONTPELLIER</v>
      </c>
      <c r="J1950" t="str">
        <f>"04 67 20 77 40 "</f>
        <v xml:space="preserve">04 67 20 77 40 </v>
      </c>
      <c r="L1950" s="1">
        <v>41624</v>
      </c>
      <c r="M1950" t="str">
        <f t="shared" si="325"/>
        <v>124</v>
      </c>
      <c r="N1950" t="str">
        <f t="shared" si="326"/>
        <v>Centre de Santé</v>
      </c>
      <c r="O1950" t="str">
        <f>"47"</f>
        <v>47</v>
      </c>
      <c r="P1950" t="str">
        <f>"Société Mutualiste"</f>
        <v>Société Mutualiste</v>
      </c>
      <c r="Q1950" t="str">
        <f t="shared" si="323"/>
        <v>36</v>
      </c>
      <c r="R1950" t="str">
        <f t="shared" si="324"/>
        <v>Tarifs conventionnels assurance maladie</v>
      </c>
      <c r="U1950" t="str">
        <f>"340023209"</f>
        <v>340023209</v>
      </c>
    </row>
    <row r="1951" spans="1:21" x14ac:dyDescent="0.3">
      <c r="A1951" t="str">
        <f>"680020021"</f>
        <v>680020021</v>
      </c>
      <c r="B1951" t="str">
        <f>"317 164 689 00323"</f>
        <v>317 164 689 00323</v>
      </c>
      <c r="D1951" t="str">
        <f>"CENTRE DE SANTE INFIRMIER PFETTERHOUSE"</f>
        <v>CENTRE DE SANTE INFIRMIER PFETTERHOUSE</v>
      </c>
      <c r="F1951" t="str">
        <f>"40 RUE DE LA GARE"</f>
        <v>40 RUE DE LA GARE</v>
      </c>
      <c r="H1951" t="str">
        <f>"68480"</f>
        <v>68480</v>
      </c>
      <c r="I1951" t="str">
        <f>"PFETTERHOUSE"</f>
        <v>PFETTERHOUSE</v>
      </c>
      <c r="J1951" t="str">
        <f>"03 89 70 95 00 "</f>
        <v xml:space="preserve">03 89 70 95 00 </v>
      </c>
      <c r="K1951" t="str">
        <f>"03 89 70 95 00"</f>
        <v>03 89 70 95 00</v>
      </c>
      <c r="L1951" s="1">
        <v>41620</v>
      </c>
      <c r="M1951" t="str">
        <f t="shared" si="325"/>
        <v>124</v>
      </c>
      <c r="N1951" t="str">
        <f t="shared" si="326"/>
        <v>Centre de Santé</v>
      </c>
      <c r="O1951" t="str">
        <f>"62"</f>
        <v>62</v>
      </c>
      <c r="P1951" t="str">
        <f>"Association de Droit Local"</f>
        <v>Association de Droit Local</v>
      </c>
      <c r="Q1951" t="str">
        <f t="shared" si="323"/>
        <v>36</v>
      </c>
      <c r="R1951" t="str">
        <f t="shared" si="324"/>
        <v>Tarifs conventionnels assurance maladie</v>
      </c>
      <c r="U1951" t="str">
        <f>"680013919"</f>
        <v>680013919</v>
      </c>
    </row>
    <row r="1952" spans="1:21" x14ac:dyDescent="0.3">
      <c r="A1952" t="str">
        <f>"750056137"</f>
        <v>750056137</v>
      </c>
      <c r="B1952" t="str">
        <f>"313 524 753 00081"</f>
        <v>313 524 753 00081</v>
      </c>
      <c r="D1952" t="str">
        <f>"CDS COSEM AUBER"</f>
        <v>CDS COSEM AUBER</v>
      </c>
      <c r="F1952" t="str">
        <f>"9 RUE BOUDREAU"</f>
        <v>9 RUE BOUDREAU</v>
      </c>
      <c r="H1952" t="str">
        <f>"75009"</f>
        <v>75009</v>
      </c>
      <c r="I1952" t="str">
        <f>"PARIS"</f>
        <v>PARIS</v>
      </c>
      <c r="J1952" t="str">
        <f>"01 55 56 62 51 "</f>
        <v xml:space="preserve">01 55 56 62 51 </v>
      </c>
      <c r="L1952" s="1">
        <v>41617</v>
      </c>
      <c r="M1952" t="str">
        <f t="shared" si="325"/>
        <v>124</v>
      </c>
      <c r="N1952" t="str">
        <f t="shared" si="326"/>
        <v>Centre de Santé</v>
      </c>
      <c r="O1952" t="str">
        <f>"60"</f>
        <v>60</v>
      </c>
      <c r="P1952" t="str">
        <f>"Association Loi 1901 non Reconnue d'Utilité Publique"</f>
        <v>Association Loi 1901 non Reconnue d'Utilité Publique</v>
      </c>
      <c r="Q1952" t="str">
        <f t="shared" si="323"/>
        <v>36</v>
      </c>
      <c r="R1952" t="str">
        <f t="shared" si="324"/>
        <v>Tarifs conventionnels assurance maladie</v>
      </c>
      <c r="U1952" t="str">
        <f>"750819583"</f>
        <v>750819583</v>
      </c>
    </row>
    <row r="1953" spans="1:21" x14ac:dyDescent="0.3">
      <c r="A1953" t="str">
        <f>"060023868"</f>
        <v>060023868</v>
      </c>
      <c r="D1953" t="str">
        <f>"DENTANICE SAINT ROCH"</f>
        <v>DENTANICE SAINT ROCH</v>
      </c>
      <c r="F1953" t="str">
        <f>"7 BOULEVARD SAINT ROCH"</f>
        <v>7 BOULEVARD SAINT ROCH</v>
      </c>
      <c r="H1953" t="str">
        <f>"06300"</f>
        <v>06300</v>
      </c>
      <c r="I1953" t="str">
        <f>"NICE"</f>
        <v>NICE</v>
      </c>
      <c r="J1953" t="str">
        <f>"06 84 53 74 82 "</f>
        <v xml:space="preserve">06 84 53 74 82 </v>
      </c>
      <c r="L1953" s="1">
        <v>41607</v>
      </c>
      <c r="M1953" t="str">
        <f t="shared" si="325"/>
        <v>124</v>
      </c>
      <c r="N1953" t="str">
        <f t="shared" si="326"/>
        <v>Centre de Santé</v>
      </c>
      <c r="O1953" t="str">
        <f>"60"</f>
        <v>60</v>
      </c>
      <c r="P1953" t="str">
        <f>"Association Loi 1901 non Reconnue d'Utilité Publique"</f>
        <v>Association Loi 1901 non Reconnue d'Utilité Publique</v>
      </c>
      <c r="Q1953" t="str">
        <f t="shared" si="323"/>
        <v>36</v>
      </c>
      <c r="R1953" t="str">
        <f t="shared" si="324"/>
        <v>Tarifs conventionnels assurance maladie</v>
      </c>
      <c r="U1953" t="str">
        <f>"060023850"</f>
        <v>060023850</v>
      </c>
    </row>
    <row r="1954" spans="1:21" x14ac:dyDescent="0.3">
      <c r="A1954" t="str">
        <f>"970112249"</f>
        <v>970112249</v>
      </c>
      <c r="B1954" t="str">
        <f>"199 710 476 00011"</f>
        <v>199 710 476 00011</v>
      </c>
      <c r="D1954" t="str">
        <f>"CDS DU CREPS  ANTILLES  GUYANE"</f>
        <v>CDS DU CREPS  ANTILLES  GUYANE</v>
      </c>
      <c r="F1954" t="str">
        <f>"ROUTE DES ABYMES"</f>
        <v>ROUTE DES ABYMES</v>
      </c>
      <c r="G1954" t="str">
        <f>"B.P. 220"</f>
        <v>B.P. 220</v>
      </c>
      <c r="H1954" t="str">
        <f>"97182"</f>
        <v>97182</v>
      </c>
      <c r="I1954" t="str">
        <f>"LES ABYMES CEDEX"</f>
        <v>LES ABYMES CEDEX</v>
      </c>
      <c r="J1954" t="str">
        <f>"05 90 82 18 23 "</f>
        <v xml:space="preserve">05 90 82 18 23 </v>
      </c>
      <c r="K1954" t="str">
        <f>"05 90 82 83 74"</f>
        <v>05 90 82 83 74</v>
      </c>
      <c r="L1954" s="1">
        <v>41600</v>
      </c>
      <c r="M1954" t="str">
        <f t="shared" si="325"/>
        <v>124</v>
      </c>
      <c r="N1954" t="str">
        <f t="shared" si="326"/>
        <v>Centre de Santé</v>
      </c>
      <c r="O1954" t="str">
        <f>"26"</f>
        <v>26</v>
      </c>
      <c r="P1954" t="str">
        <f>"Autre Etablissement Public à Caractère Administratif"</f>
        <v>Autre Etablissement Public à Caractère Administratif</v>
      </c>
      <c r="Q1954" t="str">
        <f t="shared" si="323"/>
        <v>36</v>
      </c>
      <c r="R1954" t="str">
        <f t="shared" si="324"/>
        <v>Tarifs conventionnels assurance maladie</v>
      </c>
      <c r="U1954" t="str">
        <f>"970112231"</f>
        <v>970112231</v>
      </c>
    </row>
    <row r="1955" spans="1:21" x14ac:dyDescent="0.3">
      <c r="A1955" t="str">
        <f>"750055337"</f>
        <v>750055337</v>
      </c>
      <c r="B1955" t="str">
        <f>"798 291 746 00013"</f>
        <v>798 291 746 00013</v>
      </c>
      <c r="D1955" t="str">
        <f>"CDS DENTAIRE DENTEGO"</f>
        <v>CDS DENTAIRE DENTEGO</v>
      </c>
      <c r="F1955" t="str">
        <f>"60 RUE LAUGIER"</f>
        <v>60 RUE LAUGIER</v>
      </c>
      <c r="H1955" t="str">
        <f>"75017"</f>
        <v>75017</v>
      </c>
      <c r="I1955" t="str">
        <f>"PARIS"</f>
        <v>PARIS</v>
      </c>
      <c r="J1955" t="str">
        <f>"01 42 67 91 06 "</f>
        <v xml:space="preserve">01 42 67 91 06 </v>
      </c>
      <c r="L1955" s="1">
        <v>41596</v>
      </c>
      <c r="M1955" t="str">
        <f t="shared" si="325"/>
        <v>124</v>
      </c>
      <c r="N1955" t="str">
        <f t="shared" si="326"/>
        <v>Centre de Santé</v>
      </c>
      <c r="O1955" t="str">
        <f>"60"</f>
        <v>60</v>
      </c>
      <c r="P1955" t="str">
        <f>"Association Loi 1901 non Reconnue d'Utilité Publique"</f>
        <v>Association Loi 1901 non Reconnue d'Utilité Publique</v>
      </c>
      <c r="Q1955" t="str">
        <f t="shared" si="323"/>
        <v>36</v>
      </c>
      <c r="R1955" t="str">
        <f t="shared" si="324"/>
        <v>Tarifs conventionnels assurance maladie</v>
      </c>
      <c r="U1955" t="str">
        <f>"750055329"</f>
        <v>750055329</v>
      </c>
    </row>
    <row r="1956" spans="1:21" x14ac:dyDescent="0.3">
      <c r="A1956" t="str">
        <f>"840018857"</f>
        <v>840018857</v>
      </c>
      <c r="B1956" t="str">
        <f>"491 147 880 00125"</f>
        <v>491 147 880 00125</v>
      </c>
      <c r="D1956" t="str">
        <f>"CDS DENTAIRE LE PONTET"</f>
        <v>CDS DENTAIRE LE PONTET</v>
      </c>
      <c r="F1956" t="str">
        <f>"45 RUE JEAN GASSIER"</f>
        <v>45 RUE JEAN GASSIER</v>
      </c>
      <c r="H1956" t="str">
        <f>"84130"</f>
        <v>84130</v>
      </c>
      <c r="I1956" t="str">
        <f>"LE PONTET"</f>
        <v>LE PONTET</v>
      </c>
      <c r="J1956" t="str">
        <f>"04 86 19 40 70 "</f>
        <v xml:space="preserve">04 86 19 40 70 </v>
      </c>
      <c r="K1956" t="str">
        <f>"04 86 19 40 71"</f>
        <v>04 86 19 40 71</v>
      </c>
      <c r="L1956" s="1">
        <v>41590</v>
      </c>
      <c r="M1956" t="str">
        <f t="shared" si="325"/>
        <v>124</v>
      </c>
      <c r="N1956" t="str">
        <f t="shared" si="326"/>
        <v>Centre de Santé</v>
      </c>
      <c r="O1956" t="str">
        <f>"47"</f>
        <v>47</v>
      </c>
      <c r="P1956" t="str">
        <f>"Société Mutualiste"</f>
        <v>Société Mutualiste</v>
      </c>
      <c r="Q1956" t="str">
        <f t="shared" ref="Q1956:Q2019" si="327">"36"</f>
        <v>36</v>
      </c>
      <c r="R1956" t="str">
        <f t="shared" ref="R1956:R2019" si="328">"Tarifs conventionnels assurance maladie"</f>
        <v>Tarifs conventionnels assurance maladie</v>
      </c>
      <c r="U1956" t="str">
        <f>"840016398"</f>
        <v>840016398</v>
      </c>
    </row>
    <row r="1957" spans="1:21" x14ac:dyDescent="0.3">
      <c r="A1957" t="str">
        <f>"130043953"</f>
        <v>130043953</v>
      </c>
      <c r="B1957" t="str">
        <f>"797 607 074 00011"</f>
        <v>797 607 074 00011</v>
      </c>
      <c r="D1957" t="str">
        <f>"CDS DENTALYA"</f>
        <v>CDS DENTALYA</v>
      </c>
      <c r="F1957" t="str">
        <f>"2 RUE LE CORBUSIER"</f>
        <v>2 RUE LE CORBUSIER</v>
      </c>
      <c r="H1957" t="str">
        <f>"13090"</f>
        <v>13090</v>
      </c>
      <c r="I1957" t="str">
        <f>"AIX EN PROVENCE"</f>
        <v>AIX EN PROVENCE</v>
      </c>
      <c r="J1957" t="str">
        <f>"04 42 50 52 52 "</f>
        <v xml:space="preserve">04 42 50 52 52 </v>
      </c>
      <c r="L1957" s="1">
        <v>41582</v>
      </c>
      <c r="M1957" t="str">
        <f t="shared" si="325"/>
        <v>124</v>
      </c>
      <c r="N1957" t="str">
        <f t="shared" si="326"/>
        <v>Centre de Santé</v>
      </c>
      <c r="O1957" t="str">
        <f>"60"</f>
        <v>60</v>
      </c>
      <c r="P1957" t="str">
        <f>"Association Loi 1901 non Reconnue d'Utilité Publique"</f>
        <v>Association Loi 1901 non Reconnue d'Utilité Publique</v>
      </c>
      <c r="Q1957" t="str">
        <f t="shared" si="327"/>
        <v>36</v>
      </c>
      <c r="R1957" t="str">
        <f t="shared" si="328"/>
        <v>Tarifs conventionnels assurance maladie</v>
      </c>
      <c r="U1957" t="str">
        <f>"130043946"</f>
        <v>130043946</v>
      </c>
    </row>
    <row r="1958" spans="1:21" x14ac:dyDescent="0.3">
      <c r="A1958" t="str">
        <f>"300016839"</f>
        <v>300016839</v>
      </c>
      <c r="B1958" t="str">
        <f>"775 685 316 03144"</f>
        <v>775 685 316 03144</v>
      </c>
      <c r="D1958" t="str">
        <f>"CSP FILIERIS DE LES MAGES"</f>
        <v>CSP FILIERIS DE LES MAGES</v>
      </c>
      <c r="F1958" t="str">
        <f>"AVENUE DU MOULIN"</f>
        <v>AVENUE DU MOULIN</v>
      </c>
      <c r="H1958" t="str">
        <f>"30960"</f>
        <v>30960</v>
      </c>
      <c r="I1958" t="str">
        <f>"LES MAGES"</f>
        <v>LES MAGES</v>
      </c>
      <c r="J1958" t="str">
        <f>"04 66 83 23 56 "</f>
        <v xml:space="preserve">04 66 83 23 56 </v>
      </c>
      <c r="K1958" t="str">
        <f>"04 66 60 44 35"</f>
        <v>04 66 60 44 35</v>
      </c>
      <c r="L1958" s="1">
        <v>41579</v>
      </c>
      <c r="M1958" t="str">
        <f t="shared" si="325"/>
        <v>124</v>
      </c>
      <c r="N1958" t="str">
        <f t="shared" si="326"/>
        <v>Centre de Santé</v>
      </c>
      <c r="O1958" t="str">
        <f>"41"</f>
        <v>41</v>
      </c>
      <c r="P1958" t="str">
        <f>"Régime Spécial de Sécurité Sociale"</f>
        <v>Régime Spécial de Sécurité Sociale</v>
      </c>
      <c r="Q1958" t="str">
        <f t="shared" si="327"/>
        <v>36</v>
      </c>
      <c r="R1958" t="str">
        <f t="shared" si="328"/>
        <v>Tarifs conventionnels assurance maladie</v>
      </c>
      <c r="U1958" t="str">
        <f>"750050759"</f>
        <v>750050759</v>
      </c>
    </row>
    <row r="1959" spans="1:21" x14ac:dyDescent="0.3">
      <c r="A1959" t="str">
        <f>"380013177"</f>
        <v>380013177</v>
      </c>
      <c r="B1959" t="str">
        <f>"775 761 844 00742"</f>
        <v>775 761 844 00742</v>
      </c>
      <c r="D1959" t="str">
        <f>"CENTRE DE SANTE OXANCE BOURGOIN"</f>
        <v>CENTRE DE SANTE OXANCE BOURGOIN</v>
      </c>
      <c r="F1959" t="str">
        <f>"6 RUE ISAAC ASIMOV"</f>
        <v>6 RUE ISAAC ASIMOV</v>
      </c>
      <c r="H1959" t="str">
        <f>"38300"</f>
        <v>38300</v>
      </c>
      <c r="I1959" t="str">
        <f>"BOURGOIN JALLIEU"</f>
        <v>BOURGOIN JALLIEU</v>
      </c>
      <c r="J1959" t="str">
        <f>"04 74 43 52 00 "</f>
        <v xml:space="preserve">04 74 43 52 00 </v>
      </c>
      <c r="K1959" t="str">
        <f>"04 74 43 52 03"</f>
        <v>04 74 43 52 03</v>
      </c>
      <c r="L1959" s="1">
        <v>41579</v>
      </c>
      <c r="M1959" t="str">
        <f t="shared" si="325"/>
        <v>124</v>
      </c>
      <c r="N1959" t="str">
        <f t="shared" si="326"/>
        <v>Centre de Santé</v>
      </c>
      <c r="O1959" t="str">
        <f>"47"</f>
        <v>47</v>
      </c>
      <c r="P1959" t="str">
        <f>"Société Mutualiste"</f>
        <v>Société Mutualiste</v>
      </c>
      <c r="Q1959" t="str">
        <f t="shared" si="327"/>
        <v>36</v>
      </c>
      <c r="R1959" t="str">
        <f t="shared" si="328"/>
        <v>Tarifs conventionnels assurance maladie</v>
      </c>
      <c r="U1959" t="str">
        <f>"690048111"</f>
        <v>690048111</v>
      </c>
    </row>
    <row r="1960" spans="1:21" x14ac:dyDescent="0.3">
      <c r="A1960" t="str">
        <f>"930025267"</f>
        <v>930025267</v>
      </c>
      <c r="D1960" t="str">
        <f>"CDS MEDICO DENTAIRE D EPINAY"</f>
        <v>CDS MEDICO DENTAIRE D EPINAY</v>
      </c>
      <c r="F1960" t="str">
        <f>"12 RUE DE PARIS"</f>
        <v>12 RUE DE PARIS</v>
      </c>
      <c r="H1960" t="str">
        <f>"93800"</f>
        <v>93800</v>
      </c>
      <c r="I1960" t="str">
        <f>"EPINAY SUR SEINE"</f>
        <v>EPINAY SUR SEINE</v>
      </c>
      <c r="J1960" t="str">
        <f>"01 48 22 75 76 "</f>
        <v xml:space="preserve">01 48 22 75 76 </v>
      </c>
      <c r="L1960" s="1">
        <v>41565</v>
      </c>
      <c r="M1960" t="str">
        <f t="shared" si="325"/>
        <v>124</v>
      </c>
      <c r="N1960" t="str">
        <f t="shared" si="326"/>
        <v>Centre de Santé</v>
      </c>
      <c r="O1960" t="str">
        <f>"60"</f>
        <v>60</v>
      </c>
      <c r="P1960" t="str">
        <f>"Association Loi 1901 non Reconnue d'Utilité Publique"</f>
        <v>Association Loi 1901 non Reconnue d'Utilité Publique</v>
      </c>
      <c r="Q1960" t="str">
        <f t="shared" si="327"/>
        <v>36</v>
      </c>
      <c r="R1960" t="str">
        <f t="shared" si="328"/>
        <v>Tarifs conventionnels assurance maladie</v>
      </c>
      <c r="U1960" t="str">
        <f>"930025259"</f>
        <v>930025259</v>
      </c>
    </row>
    <row r="1961" spans="1:21" x14ac:dyDescent="0.3">
      <c r="A1961" t="str">
        <f>"450002431"</f>
        <v>450002431</v>
      </c>
      <c r="B1961" t="str">
        <f>"308 017 136 00067"</f>
        <v>308 017 136 00067</v>
      </c>
      <c r="D1961" t="str">
        <f>"CTRE DE SANTE DU PLANNIG FAMILIAL 45"</f>
        <v>CTRE DE SANTE DU PLANNIG FAMILIAL 45</v>
      </c>
      <c r="F1961" t="str">
        <f>"2 RUE SAINT PAUL"</f>
        <v>2 RUE SAINT PAUL</v>
      </c>
      <c r="H1961" t="str">
        <f>"45000"</f>
        <v>45000</v>
      </c>
      <c r="I1961" t="str">
        <f>"ORLEANS"</f>
        <v>ORLEANS</v>
      </c>
      <c r="J1961" t="str">
        <f>"02 38 70 00 20 "</f>
        <v xml:space="preserve">02 38 70 00 20 </v>
      </c>
      <c r="K1961" t="str">
        <f>"02 76 34 18 09"</f>
        <v>02 76 34 18 09</v>
      </c>
      <c r="L1961" s="1">
        <v>41548</v>
      </c>
      <c r="M1961" t="str">
        <f t="shared" si="325"/>
        <v>124</v>
      </c>
      <c r="N1961" t="str">
        <f t="shared" si="326"/>
        <v>Centre de Santé</v>
      </c>
      <c r="O1961" t="str">
        <f>"60"</f>
        <v>60</v>
      </c>
      <c r="P1961" t="str">
        <f>"Association Loi 1901 non Reconnue d'Utilité Publique"</f>
        <v>Association Loi 1901 non Reconnue d'Utilité Publique</v>
      </c>
      <c r="Q1961" t="str">
        <f t="shared" si="327"/>
        <v>36</v>
      </c>
      <c r="R1961" t="str">
        <f t="shared" si="328"/>
        <v>Tarifs conventionnels assurance maladie</v>
      </c>
      <c r="U1961" t="str">
        <f>"450000948"</f>
        <v>450000948</v>
      </c>
    </row>
    <row r="1962" spans="1:21" x14ac:dyDescent="0.3">
      <c r="A1962" t="str">
        <f>"450020235"</f>
        <v>450020235</v>
      </c>
      <c r="B1962" t="str">
        <f>"308 017 136 00026"</f>
        <v>308 017 136 00026</v>
      </c>
      <c r="D1962" t="str">
        <f>"CTRE SANTE PLANNING FAMILIAL 45"</f>
        <v>CTRE SANTE PLANNING FAMILIAL 45</v>
      </c>
      <c r="F1962" t="str">
        <f>"33 RUE ROMAIN ROLLAND"</f>
        <v>33 RUE ROMAIN ROLLAND</v>
      </c>
      <c r="H1962" t="str">
        <f>"45100"</f>
        <v>45100</v>
      </c>
      <c r="I1962" t="str">
        <f>"ORLEANS"</f>
        <v>ORLEANS</v>
      </c>
      <c r="L1962" s="1">
        <v>41548</v>
      </c>
      <c r="M1962" t="str">
        <f t="shared" si="325"/>
        <v>124</v>
      </c>
      <c r="N1962" t="str">
        <f t="shared" si="326"/>
        <v>Centre de Santé</v>
      </c>
      <c r="O1962" t="str">
        <f>"60"</f>
        <v>60</v>
      </c>
      <c r="P1962" t="str">
        <f>"Association Loi 1901 non Reconnue d'Utilité Publique"</f>
        <v>Association Loi 1901 non Reconnue d'Utilité Publique</v>
      </c>
      <c r="Q1962" t="str">
        <f t="shared" si="327"/>
        <v>36</v>
      </c>
      <c r="R1962" t="str">
        <f t="shared" si="328"/>
        <v>Tarifs conventionnels assurance maladie</v>
      </c>
      <c r="U1962" t="str">
        <f>"450000948"</f>
        <v>450000948</v>
      </c>
    </row>
    <row r="1963" spans="1:21" x14ac:dyDescent="0.3">
      <c r="A1963" t="str">
        <f>"450020243"</f>
        <v>450020243</v>
      </c>
      <c r="B1963" t="str">
        <f>"308 017 136 00059"</f>
        <v>308 017 136 00059</v>
      </c>
      <c r="D1963" t="str">
        <f>"CTRE SANTE PLANNING FAMILIAL 45"</f>
        <v>CTRE SANTE PLANNING FAMILIAL 45</v>
      </c>
      <c r="E1963" t="str">
        <f>"ESPACE AGORA"</f>
        <v>ESPACE AGORA</v>
      </c>
      <c r="F1963" t="str">
        <f>"59 AVENUE DE VENDOME"</f>
        <v>59 AVENUE DE VENDOME</v>
      </c>
      <c r="H1963" t="str">
        <f>"45190"</f>
        <v>45190</v>
      </c>
      <c r="I1963" t="str">
        <f>"BEAUGENCY"</f>
        <v>BEAUGENCY</v>
      </c>
      <c r="J1963" t="str">
        <f>"02 38 55 48 62 "</f>
        <v xml:space="preserve">02 38 55 48 62 </v>
      </c>
      <c r="L1963" s="1">
        <v>41548</v>
      </c>
      <c r="M1963" t="str">
        <f t="shared" si="325"/>
        <v>124</v>
      </c>
      <c r="N1963" t="str">
        <f t="shared" si="326"/>
        <v>Centre de Santé</v>
      </c>
      <c r="O1963" t="str">
        <f>"60"</f>
        <v>60</v>
      </c>
      <c r="P1963" t="str">
        <f>"Association Loi 1901 non Reconnue d'Utilité Publique"</f>
        <v>Association Loi 1901 non Reconnue d'Utilité Publique</v>
      </c>
      <c r="Q1963" t="str">
        <f t="shared" si="327"/>
        <v>36</v>
      </c>
      <c r="R1963" t="str">
        <f t="shared" si="328"/>
        <v>Tarifs conventionnels assurance maladie</v>
      </c>
      <c r="U1963" t="str">
        <f>"450000948"</f>
        <v>450000948</v>
      </c>
    </row>
    <row r="1964" spans="1:21" x14ac:dyDescent="0.3">
      <c r="A1964" t="str">
        <f>"690800412"</f>
        <v>690800412</v>
      </c>
      <c r="B1964" t="str">
        <f>"517 465 928 00078"</f>
        <v>517 465 928 00078</v>
      </c>
      <c r="D1964" t="str">
        <f>"CENTRE DE SANTE DENTAIRE JET D'EAU"</f>
        <v>CENTRE DE SANTE DENTAIRE JET D'EAU</v>
      </c>
      <c r="F1964" t="str">
        <f>"14 RUE DE LA SOLIDARITE"</f>
        <v>14 RUE DE LA SOLIDARITE</v>
      </c>
      <c r="H1964" t="str">
        <f>"69008"</f>
        <v>69008</v>
      </c>
      <c r="I1964" t="str">
        <f>"LYON"</f>
        <v>LYON</v>
      </c>
      <c r="J1964" t="str">
        <f>"04 72 65 52 09 "</f>
        <v xml:space="preserve">04 72 65 52 09 </v>
      </c>
      <c r="L1964" s="1">
        <v>41548</v>
      </c>
      <c r="M1964" t="str">
        <f t="shared" si="325"/>
        <v>124</v>
      </c>
      <c r="N1964" t="str">
        <f t="shared" si="326"/>
        <v>Centre de Santé</v>
      </c>
      <c r="O1964" t="str">
        <f>"40"</f>
        <v>40</v>
      </c>
      <c r="P1964" t="str">
        <f>"Régime Général de Sécurité Sociale"</f>
        <v>Régime Général de Sécurité Sociale</v>
      </c>
      <c r="Q1964" t="str">
        <f t="shared" si="327"/>
        <v>36</v>
      </c>
      <c r="R1964" t="str">
        <f t="shared" si="328"/>
        <v>Tarifs conventionnels assurance maladie</v>
      </c>
      <c r="U1964" t="str">
        <f>"690797006"</f>
        <v>690797006</v>
      </c>
    </row>
    <row r="1965" spans="1:21" x14ac:dyDescent="0.3">
      <c r="A1965" t="str">
        <f>"300016730"</f>
        <v>300016730</v>
      </c>
      <c r="B1965" t="str">
        <f>"813 179 793 00324"</f>
        <v>813 179 793 00324</v>
      </c>
      <c r="D1965" t="str">
        <f>"CDS DENTAIRE MFGS SSAM BEAUCAIRE"</f>
        <v>CDS DENTAIRE MFGS SSAM BEAUCAIRE</v>
      </c>
      <c r="E1965" t="str">
        <f>"ZAC DES MILLIAIRES"</f>
        <v>ZAC DES MILLIAIRES</v>
      </c>
      <c r="F1965" t="str">
        <f>"15 AVENUE TERRE D'ARGENCE"</f>
        <v>15 AVENUE TERRE D'ARGENCE</v>
      </c>
      <c r="H1965" t="str">
        <f>"30300"</f>
        <v>30300</v>
      </c>
      <c r="I1965" t="str">
        <f>"BEAUCAIRE"</f>
        <v>BEAUCAIRE</v>
      </c>
      <c r="J1965" t="str">
        <f>"04 66 20 85 10 "</f>
        <v xml:space="preserve">04 66 20 85 10 </v>
      </c>
      <c r="K1965" t="str">
        <f>"04 66 04 30 35"</f>
        <v>04 66 04 30 35</v>
      </c>
      <c r="L1965" s="1">
        <v>41541</v>
      </c>
      <c r="M1965" t="str">
        <f t="shared" si="325"/>
        <v>124</v>
      </c>
      <c r="N1965" t="str">
        <f t="shared" si="326"/>
        <v>Centre de Santé</v>
      </c>
      <c r="O1965" t="str">
        <f>"47"</f>
        <v>47</v>
      </c>
      <c r="P1965" t="str">
        <f>"Société Mutualiste"</f>
        <v>Société Mutualiste</v>
      </c>
      <c r="Q1965" t="str">
        <f t="shared" si="327"/>
        <v>36</v>
      </c>
      <c r="R1965" t="str">
        <f t="shared" si="328"/>
        <v>Tarifs conventionnels assurance maladie</v>
      </c>
      <c r="U1965" t="str">
        <f>"340023209"</f>
        <v>340023209</v>
      </c>
    </row>
    <row r="1966" spans="1:21" x14ac:dyDescent="0.3">
      <c r="A1966" t="str">
        <f>"760034215"</f>
        <v>760034215</v>
      </c>
      <c r="B1966" t="str">
        <f>"794 994 277 01420"</f>
        <v>794 994 277 01420</v>
      </c>
      <c r="D1966" t="str">
        <f>"CLINIQUE DENTAIRE MUTUALISTE"</f>
        <v>CLINIQUE DENTAIRE MUTUALISTE</v>
      </c>
      <c r="F1966" t="str">
        <f>"137 ROUTE DE PARIS"</f>
        <v>137 ROUTE DE PARIS</v>
      </c>
      <c r="H1966" t="str">
        <f>"76240"</f>
        <v>76240</v>
      </c>
      <c r="I1966" t="str">
        <f>"LE MESNIL ESNARD"</f>
        <v>LE MESNIL ESNARD</v>
      </c>
      <c r="J1966" t="str">
        <f>"02 35 02 78 41 "</f>
        <v xml:space="preserve">02 35 02 78 41 </v>
      </c>
      <c r="L1966" s="1">
        <v>41533</v>
      </c>
      <c r="M1966" t="str">
        <f t="shared" si="325"/>
        <v>124</v>
      </c>
      <c r="N1966" t="str">
        <f t="shared" si="326"/>
        <v>Centre de Santé</v>
      </c>
      <c r="O1966" t="str">
        <f>"47"</f>
        <v>47</v>
      </c>
      <c r="P1966" t="str">
        <f>"Société Mutualiste"</f>
        <v>Société Mutualiste</v>
      </c>
      <c r="Q1966" t="str">
        <f t="shared" si="327"/>
        <v>36</v>
      </c>
      <c r="R1966" t="str">
        <f t="shared" si="328"/>
        <v>Tarifs conventionnels assurance maladie</v>
      </c>
      <c r="U1966" t="str">
        <f>"760000539"</f>
        <v>760000539</v>
      </c>
    </row>
    <row r="1967" spans="1:21" x14ac:dyDescent="0.3">
      <c r="A1967" t="str">
        <f>"590054938"</f>
        <v>590054938</v>
      </c>
      <c r="D1967" t="str">
        <f>"CENTRE DE SANTÉ DENTAIRE"</f>
        <v>CENTRE DE SANTÉ DENTAIRE</v>
      </c>
      <c r="E1967" t="str">
        <f>"PARC D'ACTIVITÉ DE LA CESSOIE"</f>
        <v>PARC D'ACTIVITÉ DE LA CESSOIE</v>
      </c>
      <c r="F1967" t="str">
        <f>"41 RUE SIMON VOLLANT"</f>
        <v>41 RUE SIMON VOLLANT</v>
      </c>
      <c r="H1967" t="str">
        <f>"59130"</f>
        <v>59130</v>
      </c>
      <c r="I1967" t="str">
        <f>"LAMBERSART"</f>
        <v>LAMBERSART</v>
      </c>
      <c r="J1967" t="str">
        <f>"03 20 14 96 27 "</f>
        <v xml:space="preserve">03 20 14 96 27 </v>
      </c>
      <c r="L1967" s="1">
        <v>41526</v>
      </c>
      <c r="M1967" t="str">
        <f t="shared" si="325"/>
        <v>124</v>
      </c>
      <c r="N1967" t="str">
        <f t="shared" si="326"/>
        <v>Centre de Santé</v>
      </c>
      <c r="O1967" t="str">
        <f>"60"</f>
        <v>60</v>
      </c>
      <c r="P1967" t="str">
        <f>"Association Loi 1901 non Reconnue d'Utilité Publique"</f>
        <v>Association Loi 1901 non Reconnue d'Utilité Publique</v>
      </c>
      <c r="Q1967" t="str">
        <f t="shared" si="327"/>
        <v>36</v>
      </c>
      <c r="R1967" t="str">
        <f t="shared" si="328"/>
        <v>Tarifs conventionnels assurance maladie</v>
      </c>
      <c r="U1967" t="str">
        <f>"590054920"</f>
        <v>590054920</v>
      </c>
    </row>
    <row r="1968" spans="1:21" x14ac:dyDescent="0.3">
      <c r="A1968" t="str">
        <f>"890008899"</f>
        <v>890008899</v>
      </c>
      <c r="B1968" t="str">
        <f>"218 901 445 00054"</f>
        <v>218 901 445 00054</v>
      </c>
      <c r="D1968" t="str">
        <f>"CENTRE DE SANTÉ"</f>
        <v>CENTRE DE SANTÉ</v>
      </c>
      <c r="F1968" t="str">
        <f>"5 PLACE DE L'EGLISE"</f>
        <v>5 PLACE DE L'EGLISE</v>
      </c>
      <c r="H1968" t="str">
        <f>"89150"</f>
        <v>89150</v>
      </c>
      <c r="I1968" t="str">
        <f>"DOMATS"</f>
        <v>DOMATS</v>
      </c>
      <c r="L1968" s="1">
        <v>41526</v>
      </c>
      <c r="M1968" t="str">
        <f t="shared" si="325"/>
        <v>124</v>
      </c>
      <c r="N1968" t="str">
        <f t="shared" si="326"/>
        <v>Centre de Santé</v>
      </c>
      <c r="O1968" t="str">
        <f>"03"</f>
        <v>03</v>
      </c>
      <c r="P1968" t="str">
        <f>"Commune"</f>
        <v>Commune</v>
      </c>
      <c r="Q1968" t="str">
        <f t="shared" si="327"/>
        <v>36</v>
      </c>
      <c r="R1968" t="str">
        <f t="shared" si="328"/>
        <v>Tarifs conventionnels assurance maladie</v>
      </c>
      <c r="U1968" t="str">
        <f>"890008881"</f>
        <v>890008881</v>
      </c>
    </row>
    <row r="1969" spans="1:21" x14ac:dyDescent="0.3">
      <c r="A1969" t="str">
        <f>"240015636"</f>
        <v>240015636</v>
      </c>
      <c r="B1969" t="str">
        <f>"781 698 253 00130"</f>
        <v>781 698 253 00130</v>
      </c>
      <c r="D1969" t="str">
        <f>"CENTRE DENTAIRE MUTUALISTE DE NONTRON"</f>
        <v>CENTRE DENTAIRE MUTUALISTE DE NONTRON</v>
      </c>
      <c r="F1969" t="str">
        <f>"1 RUE DU PRE DE LA SERVE"</f>
        <v>1 RUE DU PRE DE LA SERVE</v>
      </c>
      <c r="H1969" t="str">
        <f>"24300"</f>
        <v>24300</v>
      </c>
      <c r="I1969" t="str">
        <f>"NONTRON"</f>
        <v>NONTRON</v>
      </c>
      <c r="J1969" t="str">
        <f>"05 53 35 30 10 "</f>
        <v xml:space="preserve">05 53 35 30 10 </v>
      </c>
      <c r="L1969" s="1">
        <v>41518</v>
      </c>
      <c r="M1969" t="str">
        <f t="shared" si="325"/>
        <v>124</v>
      </c>
      <c r="N1969" t="str">
        <f t="shared" si="326"/>
        <v>Centre de Santé</v>
      </c>
      <c r="O1969" t="str">
        <f>"47"</f>
        <v>47</v>
      </c>
      <c r="P1969" t="str">
        <f>"Société Mutualiste"</f>
        <v>Société Mutualiste</v>
      </c>
      <c r="Q1969" t="str">
        <f t="shared" si="327"/>
        <v>36</v>
      </c>
      <c r="R1969" t="str">
        <f t="shared" si="328"/>
        <v>Tarifs conventionnels assurance maladie</v>
      </c>
      <c r="U1969" t="str">
        <f>"240015628"</f>
        <v>240015628</v>
      </c>
    </row>
    <row r="1970" spans="1:21" x14ac:dyDescent="0.3">
      <c r="A1970" t="str">
        <f>"750054868"</f>
        <v>750054868</v>
      </c>
      <c r="B1970" t="str">
        <f>"529 836 579 00027"</f>
        <v>529 836 579 00027</v>
      </c>
      <c r="D1970" t="str">
        <f>"CDS SQUARE DE LA MUTUALITE"</f>
        <v>CDS SQUARE DE LA MUTUALITE</v>
      </c>
      <c r="E1970" t="str">
        <f>"1-3"</f>
        <v>1-3</v>
      </c>
      <c r="F1970" t="str">
        <f>"1 SQUARE DE LA MUTUALITE"</f>
        <v>1 SQUARE DE LA MUTUALITE</v>
      </c>
      <c r="H1970" t="str">
        <f>"75005"</f>
        <v>75005</v>
      </c>
      <c r="I1970" t="str">
        <f>"PARIS"</f>
        <v>PARIS</v>
      </c>
      <c r="J1970" t="str">
        <f>"01 55 25 01 90 "</f>
        <v xml:space="preserve">01 55 25 01 90 </v>
      </c>
      <c r="L1970" s="1">
        <v>41506</v>
      </c>
      <c r="M1970" t="str">
        <f t="shared" si="325"/>
        <v>124</v>
      </c>
      <c r="N1970" t="str">
        <f t="shared" si="326"/>
        <v>Centre de Santé</v>
      </c>
      <c r="O1970" t="str">
        <f>"49"</f>
        <v>49</v>
      </c>
      <c r="P1970" t="str">
        <f>"Autre Organisme Mutualiste"</f>
        <v>Autre Organisme Mutualiste</v>
      </c>
      <c r="Q1970" t="str">
        <f t="shared" si="327"/>
        <v>36</v>
      </c>
      <c r="R1970" t="str">
        <f t="shared" si="328"/>
        <v>Tarifs conventionnels assurance maladie</v>
      </c>
      <c r="U1970" t="str">
        <f>"760032722"</f>
        <v>760032722</v>
      </c>
    </row>
    <row r="1971" spans="1:21" x14ac:dyDescent="0.3">
      <c r="A1971" t="str">
        <f>"930025168"</f>
        <v>930025168</v>
      </c>
      <c r="B1971" t="str">
        <f>"533 512 992 00017"</f>
        <v>533 512 992 00017</v>
      </c>
      <c r="D1971" t="str">
        <f>"CDS MUTUALISTE PLEYEL"</f>
        <v>CDS MUTUALISTE PLEYEL</v>
      </c>
      <c r="F1971" t="str">
        <f>"187 BOULEVARD ANATOLE FRANCE"</f>
        <v>187 BOULEVARD ANATOLE FRANCE</v>
      </c>
      <c r="H1971" t="str">
        <f>"93200"</f>
        <v>93200</v>
      </c>
      <c r="I1971" t="str">
        <f>"ST DENIS"</f>
        <v>ST DENIS</v>
      </c>
      <c r="J1971" t="str">
        <f>"01 84 17 38 38 "</f>
        <v xml:space="preserve">01 84 17 38 38 </v>
      </c>
      <c r="K1971" t="str">
        <f>"01 48 09 68 16"</f>
        <v>01 48 09 68 16</v>
      </c>
      <c r="L1971" s="1">
        <v>41506</v>
      </c>
      <c r="M1971" t="str">
        <f t="shared" si="325"/>
        <v>124</v>
      </c>
      <c r="N1971" t="str">
        <f t="shared" si="326"/>
        <v>Centre de Santé</v>
      </c>
      <c r="O1971" t="str">
        <f>"47"</f>
        <v>47</v>
      </c>
      <c r="P1971" t="str">
        <f>"Société Mutualiste"</f>
        <v>Société Mutualiste</v>
      </c>
      <c r="Q1971" t="str">
        <f t="shared" si="327"/>
        <v>36</v>
      </c>
      <c r="R1971" t="str">
        <f t="shared" si="328"/>
        <v>Tarifs conventionnels assurance maladie</v>
      </c>
      <c r="U1971" t="str">
        <f>"930025150"</f>
        <v>930025150</v>
      </c>
    </row>
    <row r="1972" spans="1:21" x14ac:dyDescent="0.3">
      <c r="A1972" t="str">
        <f>"920028586"</f>
        <v>920028586</v>
      </c>
      <c r="B1972" t="str">
        <f>"791 940 372 00018"</f>
        <v>791 940 372 00018</v>
      </c>
      <c r="D1972" t="str">
        <f>"CDS MEDICO DENTAIRE OPHTALMO ASNIERES"</f>
        <v>CDS MEDICO DENTAIRE OPHTALMO ASNIERES</v>
      </c>
      <c r="F1972" t="str">
        <f>"5 BOULEVARD VOLTAIRE"</f>
        <v>5 BOULEVARD VOLTAIRE</v>
      </c>
      <c r="H1972" t="str">
        <f>"92600"</f>
        <v>92600</v>
      </c>
      <c r="I1972" t="str">
        <f>"ASNIERES SUR SEINE"</f>
        <v>ASNIERES SUR SEINE</v>
      </c>
      <c r="J1972" t="str">
        <f>"01 77 37 97 17 "</f>
        <v xml:space="preserve">01 77 37 97 17 </v>
      </c>
      <c r="K1972" t="str">
        <f>"01 40 86 57 81"</f>
        <v>01 40 86 57 81</v>
      </c>
      <c r="L1972" s="1">
        <v>41500</v>
      </c>
      <c r="M1972" t="str">
        <f t="shared" si="325"/>
        <v>124</v>
      </c>
      <c r="N1972" t="str">
        <f t="shared" si="326"/>
        <v>Centre de Santé</v>
      </c>
      <c r="O1972" t="str">
        <f>"60"</f>
        <v>60</v>
      </c>
      <c r="P1972" t="str">
        <f>"Association Loi 1901 non Reconnue d'Utilité Publique"</f>
        <v>Association Loi 1901 non Reconnue d'Utilité Publique</v>
      </c>
      <c r="Q1972" t="str">
        <f t="shared" si="327"/>
        <v>36</v>
      </c>
      <c r="R1972" t="str">
        <f t="shared" si="328"/>
        <v>Tarifs conventionnels assurance maladie</v>
      </c>
      <c r="U1972" t="str">
        <f>"920028578"</f>
        <v>920028578</v>
      </c>
    </row>
    <row r="1973" spans="1:21" x14ac:dyDescent="0.3">
      <c r="A1973" t="str">
        <f>"740015458"</f>
        <v>740015458</v>
      </c>
      <c r="B1973" t="str">
        <f>"326 356 201 00045"</f>
        <v>326 356 201 00045</v>
      </c>
      <c r="D1973" t="str">
        <f>"CENTRE DE SANTE CSI DE L'ALBANAIS"</f>
        <v>CENTRE DE SANTE CSI DE L'ALBANAIS</v>
      </c>
      <c r="F1973" t="str">
        <f>"1 RUE DE LA LIBERTE"</f>
        <v>1 RUE DE LA LIBERTE</v>
      </c>
      <c r="H1973" t="str">
        <f>"74150"</f>
        <v>74150</v>
      </c>
      <c r="I1973" t="str">
        <f>"RUMILLY"</f>
        <v>RUMILLY</v>
      </c>
      <c r="J1973" t="str">
        <f>"04 50 64 06 50 "</f>
        <v xml:space="preserve">04 50 64 06 50 </v>
      </c>
      <c r="L1973" s="1">
        <v>41487</v>
      </c>
      <c r="M1973" t="str">
        <f t="shared" si="325"/>
        <v>124</v>
      </c>
      <c r="N1973" t="str">
        <f t="shared" si="326"/>
        <v>Centre de Santé</v>
      </c>
      <c r="O1973" t="str">
        <f>"60"</f>
        <v>60</v>
      </c>
      <c r="P1973" t="str">
        <f>"Association Loi 1901 non Reconnue d'Utilité Publique"</f>
        <v>Association Loi 1901 non Reconnue d'Utilité Publique</v>
      </c>
      <c r="Q1973" t="str">
        <f t="shared" si="327"/>
        <v>36</v>
      </c>
      <c r="R1973" t="str">
        <f t="shared" si="328"/>
        <v>Tarifs conventionnels assurance maladie</v>
      </c>
      <c r="U1973" t="str">
        <f>"740000955"</f>
        <v>740000955</v>
      </c>
    </row>
    <row r="1974" spans="1:21" x14ac:dyDescent="0.3">
      <c r="A1974" t="str">
        <f>"300016706"</f>
        <v>300016706</v>
      </c>
      <c r="B1974" t="str">
        <f>"813 179 793 00076"</f>
        <v>813 179 793 00076</v>
      </c>
      <c r="D1974" t="str">
        <f>"CDS DENTAIRE MFGS SSAM NIMES TRIANGLE"</f>
        <v>CDS DENTAIRE MFGS SSAM NIMES TRIANGLE</v>
      </c>
      <c r="F1974" t="str">
        <f>"7 AVENUE DE LA MEDITERRANEE"</f>
        <v>7 AVENUE DE LA MEDITERRANEE</v>
      </c>
      <c r="H1974" t="str">
        <f>"30000"</f>
        <v>30000</v>
      </c>
      <c r="I1974" t="str">
        <f>"NIMES"</f>
        <v>NIMES</v>
      </c>
      <c r="J1974" t="str">
        <f>"04 66 38 84 40 "</f>
        <v xml:space="preserve">04 66 38 84 40 </v>
      </c>
      <c r="L1974" s="1">
        <v>41480</v>
      </c>
      <c r="M1974" t="str">
        <f t="shared" si="325"/>
        <v>124</v>
      </c>
      <c r="N1974" t="str">
        <f t="shared" si="326"/>
        <v>Centre de Santé</v>
      </c>
      <c r="O1974" t="str">
        <f>"47"</f>
        <v>47</v>
      </c>
      <c r="P1974" t="str">
        <f>"Société Mutualiste"</f>
        <v>Société Mutualiste</v>
      </c>
      <c r="Q1974" t="str">
        <f t="shared" si="327"/>
        <v>36</v>
      </c>
      <c r="R1974" t="str">
        <f t="shared" si="328"/>
        <v>Tarifs conventionnels assurance maladie</v>
      </c>
      <c r="U1974" t="str">
        <f>"340023209"</f>
        <v>340023209</v>
      </c>
    </row>
    <row r="1975" spans="1:21" x14ac:dyDescent="0.3">
      <c r="A1975" t="str">
        <f>"920028552"</f>
        <v>920028552</v>
      </c>
      <c r="B1975" t="str">
        <f>"793 617 739 00016"</f>
        <v>793 617 739 00016</v>
      </c>
      <c r="D1975" t="str">
        <f>"CDS DENTAIRE DE LA BOULE"</f>
        <v>CDS DENTAIRE DE LA BOULE</v>
      </c>
      <c r="F1975" t="str">
        <f>"16 AVENUE DU MARECHAL JOFFRE"</f>
        <v>16 AVENUE DU MARECHAL JOFFRE</v>
      </c>
      <c r="H1975" t="str">
        <f>"92000"</f>
        <v>92000</v>
      </c>
      <c r="I1975" t="str">
        <f>"NANTERRE"</f>
        <v>NANTERRE</v>
      </c>
      <c r="J1975" t="str">
        <f>"01 46 95 15 15 "</f>
        <v xml:space="preserve">01 46 95 15 15 </v>
      </c>
      <c r="L1975" s="1">
        <v>41472</v>
      </c>
      <c r="M1975" t="str">
        <f t="shared" si="325"/>
        <v>124</v>
      </c>
      <c r="N1975" t="str">
        <f t="shared" si="326"/>
        <v>Centre de Santé</v>
      </c>
      <c r="O1975" t="str">
        <f>"60"</f>
        <v>60</v>
      </c>
      <c r="P1975" t="str">
        <f>"Association Loi 1901 non Reconnue d'Utilité Publique"</f>
        <v>Association Loi 1901 non Reconnue d'Utilité Publique</v>
      </c>
      <c r="Q1975" t="str">
        <f t="shared" si="327"/>
        <v>36</v>
      </c>
      <c r="R1975" t="str">
        <f t="shared" si="328"/>
        <v>Tarifs conventionnels assurance maladie</v>
      </c>
      <c r="U1975" t="str">
        <f>"750054793"</f>
        <v>750054793</v>
      </c>
    </row>
    <row r="1976" spans="1:21" x14ac:dyDescent="0.3">
      <c r="A1976" t="str">
        <f>"930025119"</f>
        <v>930025119</v>
      </c>
      <c r="B1976" t="str">
        <f>"792 110 215 00029"</f>
        <v>792 110 215 00029</v>
      </c>
      <c r="D1976" t="str">
        <f>"CDS MEDICAL ET DENTAIRE DU MILLENAIRE"</f>
        <v>CDS MEDICAL ET DENTAIRE DU MILLENAIRE</v>
      </c>
      <c r="E1976" t="str">
        <f>"CENTRE COMMERCIALE DU MILLENAIRE"</f>
        <v>CENTRE COMMERCIALE DU MILLENAIRE</v>
      </c>
      <c r="F1976" t="str">
        <f>"23 RUE MADELEINE VIONNET"</f>
        <v>23 RUE MADELEINE VIONNET</v>
      </c>
      <c r="H1976" t="str">
        <f>"93300"</f>
        <v>93300</v>
      </c>
      <c r="I1976" t="str">
        <f>"AUBERVILLIERS"</f>
        <v>AUBERVILLIERS</v>
      </c>
      <c r="J1976" t="str">
        <f>"01 48 35 05 05 "</f>
        <v xml:space="preserve">01 48 35 05 05 </v>
      </c>
      <c r="L1976" s="1">
        <v>41472</v>
      </c>
      <c r="M1976" t="str">
        <f t="shared" si="325"/>
        <v>124</v>
      </c>
      <c r="N1976" t="str">
        <f t="shared" si="326"/>
        <v>Centre de Santé</v>
      </c>
      <c r="O1976" t="str">
        <f>"60"</f>
        <v>60</v>
      </c>
      <c r="P1976" t="str">
        <f>"Association Loi 1901 non Reconnue d'Utilité Publique"</f>
        <v>Association Loi 1901 non Reconnue d'Utilité Publique</v>
      </c>
      <c r="Q1976" t="str">
        <f t="shared" si="327"/>
        <v>36</v>
      </c>
      <c r="R1976" t="str">
        <f t="shared" si="328"/>
        <v>Tarifs conventionnels assurance maladie</v>
      </c>
      <c r="U1976" t="str">
        <f>"750054801"</f>
        <v>750054801</v>
      </c>
    </row>
    <row r="1977" spans="1:21" x14ac:dyDescent="0.3">
      <c r="A1977" t="str">
        <f>"890008907"</f>
        <v>890008907</v>
      </c>
      <c r="B1977" t="str">
        <f>"775 567 761 01528"</f>
        <v>775 567 761 01528</v>
      </c>
      <c r="D1977" t="str">
        <f>"CENTRE DENTAIRE MUTUALISTE"</f>
        <v>CENTRE DENTAIRE MUTUALISTE</v>
      </c>
      <c r="E1977" t="str">
        <f>"25 BIS RUE DE L'YONNE"</f>
        <v>25 BIS RUE DE L'YONNE</v>
      </c>
      <c r="F1977" t="str">
        <f>""</f>
        <v/>
      </c>
      <c r="H1977" t="str">
        <f>"89290"</f>
        <v>89290</v>
      </c>
      <c r="I1977" t="str">
        <f>"VINCELLES"</f>
        <v>VINCELLES</v>
      </c>
      <c r="L1977" s="1">
        <v>41470</v>
      </c>
      <c r="M1977" t="str">
        <f t="shared" si="325"/>
        <v>124</v>
      </c>
      <c r="N1977" t="str">
        <f t="shared" si="326"/>
        <v>Centre de Santé</v>
      </c>
      <c r="O1977" t="str">
        <f>"47"</f>
        <v>47</v>
      </c>
      <c r="P1977" t="str">
        <f>"Société Mutualiste"</f>
        <v>Société Mutualiste</v>
      </c>
      <c r="Q1977" t="str">
        <f t="shared" si="327"/>
        <v>36</v>
      </c>
      <c r="R1977" t="str">
        <f t="shared" si="328"/>
        <v>Tarifs conventionnels assurance maladie</v>
      </c>
      <c r="U1977" t="str">
        <f>"210781266"</f>
        <v>210781266</v>
      </c>
    </row>
    <row r="1978" spans="1:21" x14ac:dyDescent="0.3">
      <c r="A1978" t="str">
        <f>"130043847"</f>
        <v>130043847</v>
      </c>
      <c r="B1978" t="str">
        <f>"794 508 937 00016"</f>
        <v>794 508 937 00016</v>
      </c>
      <c r="D1978" t="str">
        <f>"GLOBAL SOINS INNOVATION"</f>
        <v>GLOBAL SOINS INNOVATION</v>
      </c>
      <c r="F1978" t="str">
        <f>"105 AVENUE MARCEL PAUL"</f>
        <v>105 AVENUE MARCEL PAUL</v>
      </c>
      <c r="H1978" t="str">
        <f>"13400"</f>
        <v>13400</v>
      </c>
      <c r="I1978" t="str">
        <f>"AUBAGNE"</f>
        <v>AUBAGNE</v>
      </c>
      <c r="J1978" t="str">
        <f>"04 86 33 28 61 "</f>
        <v xml:space="preserve">04 86 33 28 61 </v>
      </c>
      <c r="L1978" s="1">
        <v>41467</v>
      </c>
      <c r="M1978" t="str">
        <f t="shared" si="325"/>
        <v>124</v>
      </c>
      <c r="N1978" t="str">
        <f t="shared" si="326"/>
        <v>Centre de Santé</v>
      </c>
      <c r="O1978" t="str">
        <f>"60"</f>
        <v>60</v>
      </c>
      <c r="P1978" t="str">
        <f>"Association Loi 1901 non Reconnue d'Utilité Publique"</f>
        <v>Association Loi 1901 non Reconnue d'Utilité Publique</v>
      </c>
      <c r="Q1978" t="str">
        <f t="shared" si="327"/>
        <v>36</v>
      </c>
      <c r="R1978" t="str">
        <f t="shared" si="328"/>
        <v>Tarifs conventionnels assurance maladie</v>
      </c>
      <c r="U1978" t="str">
        <f>"130043839"</f>
        <v>130043839</v>
      </c>
    </row>
    <row r="1979" spans="1:21" x14ac:dyDescent="0.3">
      <c r="A1979" t="str">
        <f>"600012793"</f>
        <v>600012793</v>
      </c>
      <c r="B1979" t="str">
        <f>"795 154 244 00011"</f>
        <v>795 154 244 00011</v>
      </c>
      <c r="D1979" t="str">
        <f>"CS APPSD CRÉPY-EN-VALOIS"</f>
        <v>CS APPSD CRÉPY-EN-VALOIS</v>
      </c>
      <c r="F1979" t="str">
        <f>"20 RUE JEANNE D'ARC"</f>
        <v>20 RUE JEANNE D'ARC</v>
      </c>
      <c r="H1979" t="str">
        <f>"60800"</f>
        <v>60800</v>
      </c>
      <c r="I1979" t="str">
        <f>"CREPY EN VALOIS"</f>
        <v>CREPY EN VALOIS</v>
      </c>
      <c r="J1979" t="str">
        <f>"03 44 87 59 36 "</f>
        <v xml:space="preserve">03 44 87 59 36 </v>
      </c>
      <c r="L1979" s="1">
        <v>41466</v>
      </c>
      <c r="M1979" t="str">
        <f t="shared" si="325"/>
        <v>124</v>
      </c>
      <c r="N1979" t="str">
        <f t="shared" si="326"/>
        <v>Centre de Santé</v>
      </c>
      <c r="O1979" t="str">
        <f>"60"</f>
        <v>60</v>
      </c>
      <c r="P1979" t="str">
        <f>"Association Loi 1901 non Reconnue d'Utilité Publique"</f>
        <v>Association Loi 1901 non Reconnue d'Utilité Publique</v>
      </c>
      <c r="Q1979" t="str">
        <f t="shared" si="327"/>
        <v>36</v>
      </c>
      <c r="R1979" t="str">
        <f t="shared" si="328"/>
        <v>Tarifs conventionnels assurance maladie</v>
      </c>
      <c r="U1979" t="str">
        <f>"600012785"</f>
        <v>600012785</v>
      </c>
    </row>
    <row r="1980" spans="1:21" x14ac:dyDescent="0.3">
      <c r="A1980" t="str">
        <f>"930025143"</f>
        <v>930025143</v>
      </c>
      <c r="B1980" t="str">
        <f>"790 413 264 00025"</f>
        <v>790 413 264 00025</v>
      </c>
      <c r="D1980" t="str">
        <f>"CDS MEDICAL ET DENTAIRE HOCHE"</f>
        <v>CDS MEDICAL ET DENTAIRE HOCHE</v>
      </c>
      <c r="F1980" t="str">
        <f>"4 RUE HONORE D ESTIENNE D ORVES"</f>
        <v>4 RUE HONORE D ESTIENNE D ORVES</v>
      </c>
      <c r="H1980" t="str">
        <f>"93500"</f>
        <v>93500</v>
      </c>
      <c r="I1980" t="str">
        <f>"PANTIN"</f>
        <v>PANTIN</v>
      </c>
      <c r="J1980" t="str">
        <f>"01 48 44 66 76 "</f>
        <v xml:space="preserve">01 48 44 66 76 </v>
      </c>
      <c r="K1980" t="str">
        <f>"01 70 24 84 46"</f>
        <v>01 70 24 84 46</v>
      </c>
      <c r="L1980" s="1">
        <v>41464</v>
      </c>
      <c r="M1980" t="str">
        <f t="shared" si="325"/>
        <v>124</v>
      </c>
      <c r="N1980" t="str">
        <f t="shared" si="326"/>
        <v>Centre de Santé</v>
      </c>
      <c r="O1980" t="str">
        <f>"60"</f>
        <v>60</v>
      </c>
      <c r="P1980" t="str">
        <f>"Association Loi 1901 non Reconnue d'Utilité Publique"</f>
        <v>Association Loi 1901 non Reconnue d'Utilité Publique</v>
      </c>
      <c r="Q1980" t="str">
        <f t="shared" si="327"/>
        <v>36</v>
      </c>
      <c r="R1980" t="str">
        <f t="shared" si="328"/>
        <v>Tarifs conventionnels assurance maladie</v>
      </c>
      <c r="U1980" t="str">
        <f>"930025135"</f>
        <v>930025135</v>
      </c>
    </row>
    <row r="1981" spans="1:21" x14ac:dyDescent="0.3">
      <c r="A1981" t="str">
        <f>"710014234"</f>
        <v>710014234</v>
      </c>
      <c r="B1981" t="str">
        <f>"778 564 369 00636"</f>
        <v>778 564 369 00636</v>
      </c>
      <c r="D1981" t="str">
        <f>"CENTRE DE SANTÉ DENTAIRE MUTUALISTE"</f>
        <v>CENTRE DE SANTÉ DENTAIRE MUTUALISTE</v>
      </c>
      <c r="F1981" t="str">
        <f>"15 AVENUE 2ÈME DRAGONS"</f>
        <v>15 AVENUE 2ÈME DRAGONS</v>
      </c>
      <c r="H1981" t="str">
        <f>"71400"</f>
        <v>71400</v>
      </c>
      <c r="I1981" t="str">
        <f>"AUTUN"</f>
        <v>AUTUN</v>
      </c>
      <c r="L1981" s="1">
        <v>41457</v>
      </c>
      <c r="M1981" t="str">
        <f t="shared" si="325"/>
        <v>124</v>
      </c>
      <c r="N1981" t="str">
        <f t="shared" si="326"/>
        <v>Centre de Santé</v>
      </c>
      <c r="O1981" t="str">
        <f>"47"</f>
        <v>47</v>
      </c>
      <c r="P1981" t="str">
        <f>"Société Mutualiste"</f>
        <v>Société Mutualiste</v>
      </c>
      <c r="Q1981" t="str">
        <f t="shared" si="327"/>
        <v>36</v>
      </c>
      <c r="R1981" t="str">
        <f t="shared" si="328"/>
        <v>Tarifs conventionnels assurance maladie</v>
      </c>
      <c r="U1981" t="str">
        <f>"710784109"</f>
        <v>710784109</v>
      </c>
    </row>
    <row r="1982" spans="1:21" x14ac:dyDescent="0.3">
      <c r="A1982" t="str">
        <f>"920028594"</f>
        <v>920028594</v>
      </c>
      <c r="B1982" t="str">
        <f>"792 085 292 00029"</f>
        <v>792 085 292 00029</v>
      </c>
      <c r="D1982" t="str">
        <f>"CDS JEAN JAURES CLICHY"</f>
        <v>CDS JEAN JAURES CLICHY</v>
      </c>
      <c r="F1982" t="str">
        <f>"63 BOULEVARD JEAN JAURES"</f>
        <v>63 BOULEVARD JEAN JAURES</v>
      </c>
      <c r="H1982" t="str">
        <f>"92110"</f>
        <v>92110</v>
      </c>
      <c r="I1982" t="str">
        <f>"CLICHY"</f>
        <v>CLICHY</v>
      </c>
      <c r="J1982" t="str">
        <f>"01 49 68 00 00 "</f>
        <v xml:space="preserve">01 49 68 00 00 </v>
      </c>
      <c r="L1982" s="1">
        <v>41457</v>
      </c>
      <c r="M1982" t="str">
        <f t="shared" si="325"/>
        <v>124</v>
      </c>
      <c r="N1982" t="str">
        <f t="shared" si="326"/>
        <v>Centre de Santé</v>
      </c>
      <c r="O1982" t="str">
        <f>"60"</f>
        <v>60</v>
      </c>
      <c r="P1982" t="str">
        <f>"Association Loi 1901 non Reconnue d'Utilité Publique"</f>
        <v>Association Loi 1901 non Reconnue d'Utilité Publique</v>
      </c>
      <c r="Q1982" t="str">
        <f t="shared" si="327"/>
        <v>36</v>
      </c>
      <c r="R1982" t="str">
        <f t="shared" si="328"/>
        <v>Tarifs conventionnels assurance maladie</v>
      </c>
      <c r="U1982" t="str">
        <f>"750054876"</f>
        <v>750054876</v>
      </c>
    </row>
    <row r="1983" spans="1:21" x14ac:dyDescent="0.3">
      <c r="A1983" t="str">
        <f>"620030205"</f>
        <v>620030205</v>
      </c>
      <c r="D1983" t="str">
        <f>"CENTRE DE SANTÉ DENTAIRE DE CARVIN"</f>
        <v>CENTRE DE SANTÉ DENTAIRE DE CARVIN</v>
      </c>
      <c r="F1983" t="str">
        <f>"4 GRAND PLACE JEAN JAURÈS"</f>
        <v>4 GRAND PLACE JEAN JAURÈS</v>
      </c>
      <c r="H1983" t="str">
        <f>"62220"</f>
        <v>62220</v>
      </c>
      <c r="I1983" t="str">
        <f>"CARVIN"</f>
        <v>CARVIN</v>
      </c>
      <c r="J1983" t="str">
        <f>"03 91 83 33 49 "</f>
        <v xml:space="preserve">03 91 83 33 49 </v>
      </c>
      <c r="L1983" s="1">
        <v>41429</v>
      </c>
      <c r="M1983" t="str">
        <f t="shared" si="325"/>
        <v>124</v>
      </c>
      <c r="N1983" t="str">
        <f t="shared" si="326"/>
        <v>Centre de Santé</v>
      </c>
      <c r="O1983" t="str">
        <f>"47"</f>
        <v>47</v>
      </c>
      <c r="P1983" t="str">
        <f>"Société Mutualiste"</f>
        <v>Société Mutualiste</v>
      </c>
      <c r="Q1983" t="str">
        <f t="shared" si="327"/>
        <v>36</v>
      </c>
      <c r="R1983" t="str">
        <f t="shared" si="328"/>
        <v>Tarifs conventionnels assurance maladie</v>
      </c>
      <c r="U1983" t="str">
        <f>"590024469"</f>
        <v>590024469</v>
      </c>
    </row>
    <row r="1984" spans="1:21" x14ac:dyDescent="0.3">
      <c r="A1984" t="str">
        <f>"110007069"</f>
        <v>110007069</v>
      </c>
      <c r="B1984" t="str">
        <f>"211 102 660 00019"</f>
        <v>211 102 660 00019</v>
      </c>
      <c r="D1984" t="str">
        <f>"CDS MEDICAL MUNICIPAL"</f>
        <v>CDS MEDICAL MUNICIPAL</v>
      </c>
      <c r="F1984" t="str">
        <f>"15 RUE DES STATICES"</f>
        <v>15 RUE DES STATICES</v>
      </c>
      <c r="H1984" t="str">
        <f>"11210"</f>
        <v>11210</v>
      </c>
      <c r="I1984" t="str">
        <f>"PORT LA NOUVELLE"</f>
        <v>PORT LA NOUVELLE</v>
      </c>
      <c r="J1984" t="str">
        <f>"04 68 48 03 44 "</f>
        <v xml:space="preserve">04 68 48 03 44 </v>
      </c>
      <c r="L1984" s="1">
        <v>41424</v>
      </c>
      <c r="M1984" t="str">
        <f t="shared" si="325"/>
        <v>124</v>
      </c>
      <c r="N1984" t="str">
        <f t="shared" si="326"/>
        <v>Centre de Santé</v>
      </c>
      <c r="O1984" t="str">
        <f>"03"</f>
        <v>03</v>
      </c>
      <c r="P1984" t="str">
        <f>"Commune"</f>
        <v>Commune</v>
      </c>
      <c r="Q1984" t="str">
        <f t="shared" si="327"/>
        <v>36</v>
      </c>
      <c r="R1984" t="str">
        <f t="shared" si="328"/>
        <v>Tarifs conventionnels assurance maladie</v>
      </c>
      <c r="U1984" t="str">
        <f>"110007051"</f>
        <v>110007051</v>
      </c>
    </row>
    <row r="1985" spans="1:21" x14ac:dyDescent="0.3">
      <c r="A1985" t="str">
        <f>"940021587"</f>
        <v>940021587</v>
      </c>
      <c r="B1985" t="str">
        <f>"534 682 059 00017"</f>
        <v>534 682 059 00017</v>
      </c>
      <c r="D1985" t="str">
        <f>"CDS DENTAIRE DU PORT DE CRETEIL"</f>
        <v>CDS DENTAIRE DU PORT DE CRETEIL</v>
      </c>
      <c r="F1985" t="str">
        <f>"10 RUE JEAN BAPTISTE OUDRY"</f>
        <v>10 RUE JEAN BAPTISTE OUDRY</v>
      </c>
      <c r="H1985" t="str">
        <f>"94000"</f>
        <v>94000</v>
      </c>
      <c r="I1985" t="str">
        <f>"CRETEIL"</f>
        <v>CRETEIL</v>
      </c>
      <c r="J1985" t="str">
        <f>"01 43 77 63 07 "</f>
        <v xml:space="preserve">01 43 77 63 07 </v>
      </c>
      <c r="L1985" s="1">
        <v>41397</v>
      </c>
      <c r="M1985" t="str">
        <f t="shared" si="325"/>
        <v>124</v>
      </c>
      <c r="N1985" t="str">
        <f t="shared" si="326"/>
        <v>Centre de Santé</v>
      </c>
      <c r="O1985" t="str">
        <f>"60"</f>
        <v>60</v>
      </c>
      <c r="P1985" t="str">
        <f>"Association Loi 1901 non Reconnue d'Utilité Publique"</f>
        <v>Association Loi 1901 non Reconnue d'Utilité Publique</v>
      </c>
      <c r="Q1985" t="str">
        <f t="shared" si="327"/>
        <v>36</v>
      </c>
      <c r="R1985" t="str">
        <f t="shared" si="328"/>
        <v>Tarifs conventionnels assurance maladie</v>
      </c>
      <c r="U1985" t="str">
        <f>"940021579"</f>
        <v>940021579</v>
      </c>
    </row>
    <row r="1986" spans="1:21" x14ac:dyDescent="0.3">
      <c r="A1986" t="str">
        <f>"590054102"</f>
        <v>590054102</v>
      </c>
      <c r="D1986" t="str">
        <f>"CENTRE DE SANTÉ DENTAIRE"</f>
        <v>CENTRE DE SANTÉ DENTAIRE</v>
      </c>
      <c r="F1986" t="str">
        <f>"1 BOULEVARD VALMY"</f>
        <v>1 BOULEVARD VALMY</v>
      </c>
      <c r="H1986" t="str">
        <f>"59650"</f>
        <v>59650</v>
      </c>
      <c r="I1986" t="str">
        <f>"VILLENEUVE D ASCQ"</f>
        <v>VILLENEUVE D ASCQ</v>
      </c>
      <c r="J1986" t="str">
        <f>"03 28 37 01 66 "</f>
        <v xml:space="preserve">03 28 37 01 66 </v>
      </c>
      <c r="L1986" s="1">
        <v>41396</v>
      </c>
      <c r="M1986" t="str">
        <f t="shared" ref="M1986:M2049" si="329">"124"</f>
        <v>124</v>
      </c>
      <c r="N1986" t="str">
        <f t="shared" ref="N1986:N2049" si="330">"Centre de Santé"</f>
        <v>Centre de Santé</v>
      </c>
      <c r="O1986" t="str">
        <f>"47"</f>
        <v>47</v>
      </c>
      <c r="P1986" t="str">
        <f>"Société Mutualiste"</f>
        <v>Société Mutualiste</v>
      </c>
      <c r="Q1986" t="str">
        <f t="shared" si="327"/>
        <v>36</v>
      </c>
      <c r="R1986" t="str">
        <f t="shared" si="328"/>
        <v>Tarifs conventionnels assurance maladie</v>
      </c>
      <c r="U1986" t="str">
        <f>"590024469"</f>
        <v>590024469</v>
      </c>
    </row>
    <row r="1987" spans="1:21" x14ac:dyDescent="0.3">
      <c r="A1987" t="str">
        <f>"620030064"</f>
        <v>620030064</v>
      </c>
      <c r="D1987" t="str">
        <f>"CENTRE DE SANTÉ DENTAIRE DE FRUGES"</f>
        <v>CENTRE DE SANTÉ DENTAIRE DE FRUGES</v>
      </c>
      <c r="F1987" t="str">
        <f>"1 AVENUE FRANÇOIS MITTERRAND"</f>
        <v>1 AVENUE FRANÇOIS MITTERRAND</v>
      </c>
      <c r="H1987" t="str">
        <f>"62310"</f>
        <v>62310</v>
      </c>
      <c r="I1987" t="str">
        <f>"FRUGES"</f>
        <v>FRUGES</v>
      </c>
      <c r="J1987" t="str">
        <f>"03 21 41 07 91 "</f>
        <v xml:space="preserve">03 21 41 07 91 </v>
      </c>
      <c r="K1987" t="str">
        <f>"03 21 47 73 92"</f>
        <v>03 21 47 73 92</v>
      </c>
      <c r="L1987" s="1">
        <v>41396</v>
      </c>
      <c r="M1987" t="str">
        <f t="shared" si="329"/>
        <v>124</v>
      </c>
      <c r="N1987" t="str">
        <f t="shared" si="330"/>
        <v>Centre de Santé</v>
      </c>
      <c r="O1987" t="str">
        <f>"47"</f>
        <v>47</v>
      </c>
      <c r="P1987" t="str">
        <f>"Société Mutualiste"</f>
        <v>Société Mutualiste</v>
      </c>
      <c r="Q1987" t="str">
        <f t="shared" si="327"/>
        <v>36</v>
      </c>
      <c r="R1987" t="str">
        <f t="shared" si="328"/>
        <v>Tarifs conventionnels assurance maladie</v>
      </c>
      <c r="U1987" t="str">
        <f>"590024469"</f>
        <v>590024469</v>
      </c>
    </row>
    <row r="1988" spans="1:21" x14ac:dyDescent="0.3">
      <c r="A1988" t="str">
        <f>"920028412"</f>
        <v>920028412</v>
      </c>
      <c r="B1988" t="str">
        <f>"792 095 002 00012"</f>
        <v>792 095 002 00012</v>
      </c>
      <c r="D1988" t="str">
        <f>"CDS MEDICO DENTAIRE CMDNOP"</f>
        <v>CDS MEDICO DENTAIRE CMDNOP</v>
      </c>
      <c r="F1988" t="str">
        <f>"39 RUE CASTERES"</f>
        <v>39 RUE CASTERES</v>
      </c>
      <c r="H1988" t="str">
        <f>"92110"</f>
        <v>92110</v>
      </c>
      <c r="I1988" t="str">
        <f>"CLICHY"</f>
        <v>CLICHY</v>
      </c>
      <c r="J1988" t="str">
        <f>"01 47 31 26 26 "</f>
        <v xml:space="preserve">01 47 31 26 26 </v>
      </c>
      <c r="L1988" s="1">
        <v>41390</v>
      </c>
      <c r="M1988" t="str">
        <f t="shared" si="329"/>
        <v>124</v>
      </c>
      <c r="N1988" t="str">
        <f t="shared" si="330"/>
        <v>Centre de Santé</v>
      </c>
      <c r="O1988" t="str">
        <f>"60"</f>
        <v>60</v>
      </c>
      <c r="P1988" t="str">
        <f>"Association Loi 1901 non Reconnue d'Utilité Publique"</f>
        <v>Association Loi 1901 non Reconnue d'Utilité Publique</v>
      </c>
      <c r="Q1988" t="str">
        <f t="shared" si="327"/>
        <v>36</v>
      </c>
      <c r="R1988" t="str">
        <f t="shared" si="328"/>
        <v>Tarifs conventionnels assurance maladie</v>
      </c>
      <c r="U1988" t="str">
        <f>"920028404"</f>
        <v>920028404</v>
      </c>
    </row>
    <row r="1989" spans="1:21" x14ac:dyDescent="0.3">
      <c r="A1989" t="str">
        <f>"300017647"</f>
        <v>300017647</v>
      </c>
      <c r="B1989" t="str">
        <f>"775 685 316 00421"</f>
        <v>775 685 316 00421</v>
      </c>
      <c r="D1989" t="str">
        <f>"POLE PREVENTION FILIERIS ALES"</f>
        <v>POLE PREVENTION FILIERIS ALES</v>
      </c>
      <c r="F1989" t="str">
        <f>"10 QUAI BOISSIER DE SAUVAGES"</f>
        <v>10 QUAI BOISSIER DE SAUVAGES</v>
      </c>
      <c r="H1989" t="str">
        <f>"30100"</f>
        <v>30100</v>
      </c>
      <c r="I1989" t="str">
        <f>"ALES"</f>
        <v>ALES</v>
      </c>
      <c r="J1989" t="str">
        <f>"04 66 56 24 96 "</f>
        <v xml:space="preserve">04 66 56 24 96 </v>
      </c>
      <c r="K1989" t="str">
        <f>"04 66 56 27 05"</f>
        <v>04 66 56 27 05</v>
      </c>
      <c r="L1989" s="1">
        <v>41389</v>
      </c>
      <c r="M1989" t="str">
        <f t="shared" si="329"/>
        <v>124</v>
      </c>
      <c r="N1989" t="str">
        <f t="shared" si="330"/>
        <v>Centre de Santé</v>
      </c>
      <c r="O1989" t="str">
        <f>"41"</f>
        <v>41</v>
      </c>
      <c r="P1989" t="str">
        <f>"Régime Spécial de Sécurité Sociale"</f>
        <v>Régime Spécial de Sécurité Sociale</v>
      </c>
      <c r="Q1989" t="str">
        <f t="shared" si="327"/>
        <v>36</v>
      </c>
      <c r="R1989" t="str">
        <f t="shared" si="328"/>
        <v>Tarifs conventionnels assurance maladie</v>
      </c>
      <c r="U1989" t="str">
        <f>"750050759"</f>
        <v>750050759</v>
      </c>
    </row>
    <row r="1990" spans="1:21" x14ac:dyDescent="0.3">
      <c r="A1990" t="str">
        <f>"270027204"</f>
        <v>270027204</v>
      </c>
      <c r="B1990" t="str">
        <f>"794 994 277 00828"</f>
        <v>794 994 277 00828</v>
      </c>
      <c r="D1990" t="str">
        <f>"CTRE SANTE DENTAIRE MUTUALISTE VERNEUI"</f>
        <v>CTRE SANTE DENTAIRE MUTUALISTE VERNEUI</v>
      </c>
      <c r="F1990" t="str">
        <f>"RUE DES FRERES LUMIERES"</f>
        <v>RUE DES FRERES LUMIERES</v>
      </c>
      <c r="H1990" t="str">
        <f>"27130"</f>
        <v>27130</v>
      </c>
      <c r="I1990" t="str">
        <f>"VERNEUIL D AVRE ET D ITON"</f>
        <v>VERNEUIL D AVRE ET D ITON</v>
      </c>
      <c r="J1990" t="str">
        <f>"02 32 39 84 60 "</f>
        <v xml:space="preserve">02 32 39 84 60 </v>
      </c>
      <c r="L1990" s="1">
        <v>41366</v>
      </c>
      <c r="M1990" t="str">
        <f t="shared" si="329"/>
        <v>124</v>
      </c>
      <c r="N1990" t="str">
        <f t="shared" si="330"/>
        <v>Centre de Santé</v>
      </c>
      <c r="O1990" t="str">
        <f>"47"</f>
        <v>47</v>
      </c>
      <c r="P1990" t="str">
        <f>"Société Mutualiste"</f>
        <v>Société Mutualiste</v>
      </c>
      <c r="Q1990" t="str">
        <f t="shared" si="327"/>
        <v>36</v>
      </c>
      <c r="R1990" t="str">
        <f t="shared" si="328"/>
        <v>Tarifs conventionnels assurance maladie</v>
      </c>
      <c r="U1990" t="str">
        <f>"760000539"</f>
        <v>760000539</v>
      </c>
    </row>
    <row r="1991" spans="1:21" x14ac:dyDescent="0.3">
      <c r="A1991" t="str">
        <f>"670017151"</f>
        <v>670017151</v>
      </c>
      <c r="B1991" t="str">
        <f>"775 641 731 00317"</f>
        <v>775 641 731 00317</v>
      </c>
      <c r="D1991" t="str">
        <f>"CSI DES DIACONESSES DEUX RIVES"</f>
        <v>CSI DES DIACONESSES DEUX RIVES</v>
      </c>
      <c r="F1991" t="str">
        <f>"6 RUE FRANCOIS EPAILLY"</f>
        <v>6 RUE FRANCOIS EPAILLY</v>
      </c>
      <c r="H1991" t="str">
        <f>"67000"</f>
        <v>67000</v>
      </c>
      <c r="I1991" t="str">
        <f>"STRASBOURG"</f>
        <v>STRASBOURG</v>
      </c>
      <c r="J1991" t="str">
        <f>"03 88 45 08 47 "</f>
        <v xml:space="preserve">03 88 45 08 47 </v>
      </c>
      <c r="K1991" t="str">
        <f>"03 88 45 13 32"</f>
        <v>03 88 45 13 32</v>
      </c>
      <c r="L1991" s="1">
        <v>41366</v>
      </c>
      <c r="M1991" t="str">
        <f t="shared" si="329"/>
        <v>124</v>
      </c>
      <c r="N1991" t="str">
        <f t="shared" si="330"/>
        <v>Centre de Santé</v>
      </c>
      <c r="O1991" t="str">
        <f>"61"</f>
        <v>61</v>
      </c>
      <c r="P1991" t="str">
        <f>"Association Loi 1901 Reconnue d'Utilité Publique"</f>
        <v>Association Loi 1901 Reconnue d'Utilité Publique</v>
      </c>
      <c r="Q1991" t="str">
        <f t="shared" si="327"/>
        <v>36</v>
      </c>
      <c r="R1991" t="str">
        <f t="shared" si="328"/>
        <v>Tarifs conventionnels assurance maladie</v>
      </c>
      <c r="U1991" t="str">
        <f>"670000108"</f>
        <v>670000108</v>
      </c>
    </row>
    <row r="1992" spans="1:21" x14ac:dyDescent="0.3">
      <c r="A1992" t="str">
        <f>"690039664"</f>
        <v>690039664</v>
      </c>
      <c r="B1992" t="str">
        <f>"216 900 068 00109"</f>
        <v>216 900 068 00109</v>
      </c>
      <c r="D1992" t="str">
        <f>"CENTRE DE SANTE AMPLEPUIS"</f>
        <v>CENTRE DE SANTE AMPLEPUIS</v>
      </c>
      <c r="F1992" t="str">
        <f>"32 RUE AUGUSTE VILLY"</f>
        <v>32 RUE AUGUSTE VILLY</v>
      </c>
      <c r="H1992" t="str">
        <f>"69550"</f>
        <v>69550</v>
      </c>
      <c r="I1992" t="str">
        <f>"AMPLEPUIS"</f>
        <v>AMPLEPUIS</v>
      </c>
      <c r="L1992" s="1">
        <v>41365</v>
      </c>
      <c r="M1992" t="str">
        <f t="shared" si="329"/>
        <v>124</v>
      </c>
      <c r="N1992" t="str">
        <f t="shared" si="330"/>
        <v>Centre de Santé</v>
      </c>
      <c r="O1992" t="str">
        <f>"03"</f>
        <v>03</v>
      </c>
      <c r="P1992" t="str">
        <f>"Commune"</f>
        <v>Commune</v>
      </c>
      <c r="Q1992" t="str">
        <f t="shared" si="327"/>
        <v>36</v>
      </c>
      <c r="R1992" t="str">
        <f t="shared" si="328"/>
        <v>Tarifs conventionnels assurance maladie</v>
      </c>
      <c r="U1992" t="str">
        <f>"690039656"</f>
        <v>690039656</v>
      </c>
    </row>
    <row r="1993" spans="1:21" x14ac:dyDescent="0.3">
      <c r="A1993" t="str">
        <f>"020016002"</f>
        <v>020016002</v>
      </c>
      <c r="D1993" t="str">
        <f>"CENTRE DE SANTE DENTAIRE MUTUALISTE"</f>
        <v>CENTRE DE SANTE DENTAIRE MUTUALISTE</v>
      </c>
      <c r="F1993" t="str">
        <f>"6 RUE GEORGES POMPIDOU"</f>
        <v>6 RUE GEORGES POMPIDOU</v>
      </c>
      <c r="H1993" t="str">
        <f>"02300"</f>
        <v>02300</v>
      </c>
      <c r="I1993" t="str">
        <f>"CHAUNY"</f>
        <v>CHAUNY</v>
      </c>
      <c r="J1993" t="str">
        <f>"03 23 57 80 60 "</f>
        <v xml:space="preserve">03 23 57 80 60 </v>
      </c>
      <c r="L1993" s="1">
        <v>41352</v>
      </c>
      <c r="M1993" t="str">
        <f t="shared" si="329"/>
        <v>124</v>
      </c>
      <c r="N1993" t="str">
        <f t="shared" si="330"/>
        <v>Centre de Santé</v>
      </c>
      <c r="O1993" t="str">
        <f>"47"</f>
        <v>47</v>
      </c>
      <c r="P1993" t="str">
        <f>"Société Mutualiste"</f>
        <v>Société Mutualiste</v>
      </c>
      <c r="Q1993" t="str">
        <f t="shared" si="327"/>
        <v>36</v>
      </c>
      <c r="R1993" t="str">
        <f t="shared" si="328"/>
        <v>Tarifs conventionnels assurance maladie</v>
      </c>
      <c r="U1993" t="str">
        <f>"590024469"</f>
        <v>590024469</v>
      </c>
    </row>
    <row r="1994" spans="1:21" x14ac:dyDescent="0.3">
      <c r="A1994" t="str">
        <f>"750054348"</f>
        <v>750054348</v>
      </c>
      <c r="B1994" t="str">
        <f>"790 066 104 00015"</f>
        <v>790 066 104 00015</v>
      </c>
      <c r="D1994" t="str">
        <f>"CDS DE LA PLAINE MONCEAU"</f>
        <v>CDS DE LA PLAINE MONCEAU</v>
      </c>
      <c r="F1994" t="str">
        <f>"91 RUE DE PRONY"</f>
        <v>91 RUE DE PRONY</v>
      </c>
      <c r="H1994" t="str">
        <f>"75017"</f>
        <v>75017</v>
      </c>
      <c r="I1994" t="str">
        <f>"PARIS"</f>
        <v>PARIS</v>
      </c>
      <c r="J1994" t="str">
        <f>"01 44 29 79 89 "</f>
        <v xml:space="preserve">01 44 29 79 89 </v>
      </c>
      <c r="L1994" s="1">
        <v>41341</v>
      </c>
      <c r="M1994" t="str">
        <f t="shared" si="329"/>
        <v>124</v>
      </c>
      <c r="N1994" t="str">
        <f t="shared" si="330"/>
        <v>Centre de Santé</v>
      </c>
      <c r="O1994" t="str">
        <f>"60"</f>
        <v>60</v>
      </c>
      <c r="P1994" t="str">
        <f>"Association Loi 1901 non Reconnue d'Utilité Publique"</f>
        <v>Association Loi 1901 non Reconnue d'Utilité Publique</v>
      </c>
      <c r="Q1994" t="str">
        <f t="shared" si="327"/>
        <v>36</v>
      </c>
      <c r="R1994" t="str">
        <f t="shared" si="328"/>
        <v>Tarifs conventionnels assurance maladie</v>
      </c>
      <c r="U1994" t="str">
        <f>"750054330"</f>
        <v>750054330</v>
      </c>
    </row>
    <row r="1995" spans="1:21" x14ac:dyDescent="0.3">
      <c r="A1995" t="str">
        <f>"660009127"</f>
        <v>660009127</v>
      </c>
      <c r="B1995" t="str">
        <f>"789 714 078 00019"</f>
        <v>789 714 078 00019</v>
      </c>
      <c r="D1995" t="str">
        <f>"CDS DENTAIRE DENTALVIE CABESTANY"</f>
        <v>CDS DENTAIRE DENTALVIE CABESTANY</v>
      </c>
      <c r="F1995" t="str">
        <f>"2 RUE MADELEINE BRES"</f>
        <v>2 RUE MADELEINE BRES</v>
      </c>
      <c r="H1995" t="str">
        <f>"66330"</f>
        <v>66330</v>
      </c>
      <c r="I1995" t="str">
        <f>"CABESTANY"</f>
        <v>CABESTANY</v>
      </c>
      <c r="J1995" t="str">
        <f>"04 68 29 09 09 "</f>
        <v xml:space="preserve">04 68 29 09 09 </v>
      </c>
      <c r="L1995" s="1">
        <v>41337</v>
      </c>
      <c r="M1995" t="str">
        <f t="shared" si="329"/>
        <v>124</v>
      </c>
      <c r="N1995" t="str">
        <f t="shared" si="330"/>
        <v>Centre de Santé</v>
      </c>
      <c r="O1995" t="str">
        <f>"60"</f>
        <v>60</v>
      </c>
      <c r="P1995" t="str">
        <f>"Association Loi 1901 non Reconnue d'Utilité Publique"</f>
        <v>Association Loi 1901 non Reconnue d'Utilité Publique</v>
      </c>
      <c r="Q1995" t="str">
        <f t="shared" si="327"/>
        <v>36</v>
      </c>
      <c r="R1995" t="str">
        <f t="shared" si="328"/>
        <v>Tarifs conventionnels assurance maladie</v>
      </c>
      <c r="U1995" t="str">
        <f>"660009119"</f>
        <v>660009119</v>
      </c>
    </row>
    <row r="1996" spans="1:21" x14ac:dyDescent="0.3">
      <c r="A1996" t="str">
        <f>"260019088"</f>
        <v>260019088</v>
      </c>
      <c r="B1996" t="str">
        <f>"779 471 986 00876"</f>
        <v>779 471 986 00876</v>
      </c>
      <c r="D1996" t="str">
        <f>"CENTRE DE SANTE EOVI VALENCE/LATECOERE"</f>
        <v>CENTRE DE SANTE EOVI VALENCE/LATECOERE</v>
      </c>
      <c r="F1996" t="str">
        <f>"89 RUE PIERRE LATECOERE"</f>
        <v>89 RUE PIERRE LATECOERE</v>
      </c>
      <c r="H1996" t="str">
        <f>"26000"</f>
        <v>26000</v>
      </c>
      <c r="I1996" t="str">
        <f>"VALENCE"</f>
        <v>VALENCE</v>
      </c>
      <c r="J1996" t="str">
        <f>"04 75 82 48 80 "</f>
        <v xml:space="preserve">04 75 82 48 80 </v>
      </c>
      <c r="L1996" s="1">
        <v>41334</v>
      </c>
      <c r="M1996" t="str">
        <f t="shared" si="329"/>
        <v>124</v>
      </c>
      <c r="N1996" t="str">
        <f t="shared" si="330"/>
        <v>Centre de Santé</v>
      </c>
      <c r="O1996" t="str">
        <f>"47"</f>
        <v>47</v>
      </c>
      <c r="P1996" t="str">
        <f>"Société Mutualiste"</f>
        <v>Société Mutualiste</v>
      </c>
      <c r="Q1996" t="str">
        <f t="shared" si="327"/>
        <v>36</v>
      </c>
      <c r="R1996" t="str">
        <f t="shared" si="328"/>
        <v>Tarifs conventionnels assurance maladie</v>
      </c>
      <c r="U1996" t="str">
        <f>"260007018"</f>
        <v>260007018</v>
      </c>
    </row>
    <row r="1997" spans="1:21" x14ac:dyDescent="0.3">
      <c r="A1997" t="str">
        <f>"420013096"</f>
        <v>420013096</v>
      </c>
      <c r="B1997" t="str">
        <f>"775 602 436 00625"</f>
        <v>775 602 436 00625</v>
      </c>
      <c r="D1997" t="str">
        <f>"CENTRE DE SANTE MFL SSAM FIRMINY"</f>
        <v>CENTRE DE SANTE MFL SSAM FIRMINY</v>
      </c>
      <c r="F1997" t="str">
        <f>"34 RUE VICTOR HUGO"</f>
        <v>34 RUE VICTOR HUGO</v>
      </c>
      <c r="H1997" t="str">
        <f>"42700"</f>
        <v>42700</v>
      </c>
      <c r="I1997" t="str">
        <f>"FIRMINY"</f>
        <v>FIRMINY</v>
      </c>
      <c r="J1997" t="str">
        <f>"04 77 10 97 08 "</f>
        <v xml:space="preserve">04 77 10 97 08 </v>
      </c>
      <c r="K1997" t="str">
        <f>"04 77 10 17 40"</f>
        <v>04 77 10 17 40</v>
      </c>
      <c r="L1997" s="1">
        <v>41334</v>
      </c>
      <c r="M1997" t="str">
        <f t="shared" si="329"/>
        <v>124</v>
      </c>
      <c r="N1997" t="str">
        <f t="shared" si="330"/>
        <v>Centre de Santé</v>
      </c>
      <c r="O1997" t="str">
        <f>"47"</f>
        <v>47</v>
      </c>
      <c r="P1997" t="str">
        <f>"Société Mutualiste"</f>
        <v>Société Mutualiste</v>
      </c>
      <c r="Q1997" t="str">
        <f t="shared" si="327"/>
        <v>36</v>
      </c>
      <c r="R1997" t="str">
        <f t="shared" si="328"/>
        <v>Tarifs conventionnels assurance maladie</v>
      </c>
      <c r="U1997" t="str">
        <f>"420787061"</f>
        <v>420787061</v>
      </c>
    </row>
    <row r="1998" spans="1:21" x14ac:dyDescent="0.3">
      <c r="A1998" t="str">
        <f>"920028297"</f>
        <v>920028297</v>
      </c>
      <c r="D1998" t="str">
        <f>"CDS MEDICO-DENTAIRE EMDHS"</f>
        <v>CDS MEDICO-DENTAIRE EMDHS</v>
      </c>
      <c r="E1998" t="str">
        <f>"ALLEE MELIN"</f>
        <v>ALLEE MELIN</v>
      </c>
      <c r="F1998" t="str">
        <f>"36 BOULEVARD HENRI SELLIER"</f>
        <v>36 BOULEVARD HENRI SELLIER</v>
      </c>
      <c r="H1998" t="str">
        <f>"92150"</f>
        <v>92150</v>
      </c>
      <c r="I1998" t="str">
        <f>"SURESNES"</f>
        <v>SURESNES</v>
      </c>
      <c r="J1998" t="str">
        <f>"01 41 38 96 30 "</f>
        <v xml:space="preserve">01 41 38 96 30 </v>
      </c>
      <c r="K1998" t="str">
        <f>"01 47 72 20 11"</f>
        <v>01 47 72 20 11</v>
      </c>
      <c r="L1998" s="1">
        <v>41295</v>
      </c>
      <c r="M1998" t="str">
        <f t="shared" si="329"/>
        <v>124</v>
      </c>
      <c r="N1998" t="str">
        <f t="shared" si="330"/>
        <v>Centre de Santé</v>
      </c>
      <c r="O1998" t="str">
        <f>"60"</f>
        <v>60</v>
      </c>
      <c r="P1998" t="str">
        <f>"Association Loi 1901 non Reconnue d'Utilité Publique"</f>
        <v>Association Loi 1901 non Reconnue d'Utilité Publique</v>
      </c>
      <c r="Q1998" t="str">
        <f t="shared" si="327"/>
        <v>36</v>
      </c>
      <c r="R1998" t="str">
        <f t="shared" si="328"/>
        <v>Tarifs conventionnels assurance maladie</v>
      </c>
      <c r="U1998" t="str">
        <f>"750063794"</f>
        <v>750063794</v>
      </c>
    </row>
    <row r="1999" spans="1:21" x14ac:dyDescent="0.3">
      <c r="A1999" t="str">
        <f>"870017423"</f>
        <v>870017423</v>
      </c>
      <c r="B1999" t="str">
        <f>"775 716 673 00808"</f>
        <v>775 716 673 00808</v>
      </c>
      <c r="D1999" t="str">
        <f>"CENTRE DE SANTÉ DENTAIRE DE FEYTIAT"</f>
        <v>CENTRE DE SANTÉ DENTAIRE DE FEYTIAT</v>
      </c>
      <c r="F1999" t="str">
        <f>"RUE DE LA LAICITE"</f>
        <v>RUE DE LA LAICITE</v>
      </c>
      <c r="H1999" t="str">
        <f>"87220"</f>
        <v>87220</v>
      </c>
      <c r="I1999" t="str">
        <f>"FEYTIAT"</f>
        <v>FEYTIAT</v>
      </c>
      <c r="J1999" t="str">
        <f>"05 19 99 25 60 "</f>
        <v xml:space="preserve">05 19 99 25 60 </v>
      </c>
      <c r="L1999" s="1">
        <v>41294</v>
      </c>
      <c r="M1999" t="str">
        <f t="shared" si="329"/>
        <v>124</v>
      </c>
      <c r="N1999" t="str">
        <f t="shared" si="330"/>
        <v>Centre de Santé</v>
      </c>
      <c r="O1999" t="str">
        <f>"47"</f>
        <v>47</v>
      </c>
      <c r="P1999" t="str">
        <f>"Société Mutualiste"</f>
        <v>Société Mutualiste</v>
      </c>
      <c r="Q1999" t="str">
        <f t="shared" si="327"/>
        <v>36</v>
      </c>
      <c r="R1999" t="str">
        <f t="shared" si="328"/>
        <v>Tarifs conventionnels assurance maladie</v>
      </c>
      <c r="U1999" t="str">
        <f>"870016722"</f>
        <v>870016722</v>
      </c>
    </row>
    <row r="2000" spans="1:21" x14ac:dyDescent="0.3">
      <c r="A2000" t="str">
        <f>"450019930"</f>
        <v>450019930</v>
      </c>
      <c r="B2000" t="str">
        <f>"130 026 792 00031"</f>
        <v>130 026 792 00031</v>
      </c>
      <c r="D2000" t="str">
        <f>"CENTRE DE  SANTE DE JARGEAU"</f>
        <v>CENTRE DE  SANTE DE JARGEAU</v>
      </c>
      <c r="F2000" t="str">
        <f>"11 RUE DU 8 MAI 1945"</f>
        <v>11 RUE DU 8 MAI 1945</v>
      </c>
      <c r="H2000" t="str">
        <f>"45150"</f>
        <v>45150</v>
      </c>
      <c r="I2000" t="str">
        <f>"JARGEAU"</f>
        <v>JARGEAU</v>
      </c>
      <c r="J2000" t="str">
        <f>"02 38 24 14 20 "</f>
        <v xml:space="preserve">02 38 24 14 20 </v>
      </c>
      <c r="L2000" s="1">
        <v>41291</v>
      </c>
      <c r="M2000" t="str">
        <f t="shared" si="329"/>
        <v>124</v>
      </c>
      <c r="N2000" t="str">
        <f t="shared" si="330"/>
        <v>Centre de Santé</v>
      </c>
      <c r="O2000" t="str">
        <f>"28"</f>
        <v>28</v>
      </c>
      <c r="P2000" t="str">
        <f>"Groupement d'Intérêt Public (G.I.P.)"</f>
        <v>Groupement d'Intérêt Public (G.I.P.)</v>
      </c>
      <c r="Q2000" t="str">
        <f t="shared" si="327"/>
        <v>36</v>
      </c>
      <c r="R2000" t="str">
        <f t="shared" si="328"/>
        <v>Tarifs conventionnels assurance maladie</v>
      </c>
      <c r="U2000" t="str">
        <f>"450022801"</f>
        <v>450022801</v>
      </c>
    </row>
    <row r="2001" spans="1:21" x14ac:dyDescent="0.3">
      <c r="A2001" t="str">
        <f>"850021940"</f>
        <v>850021940</v>
      </c>
      <c r="B2001" t="str">
        <f>"844 881 417 00894"</f>
        <v>844 881 417 00894</v>
      </c>
      <c r="D2001" t="str">
        <f>"CENTRE DENTAIRE MUTUALISTE"</f>
        <v>CENTRE DENTAIRE MUTUALISTE</v>
      </c>
      <c r="F2001" t="str">
        <f>"62 RUE SAINT JACQUES"</f>
        <v>62 RUE SAINT JACQUES</v>
      </c>
      <c r="G2001" t="str">
        <f>"MONTAIGU"</f>
        <v>MONTAIGU</v>
      </c>
      <c r="H2001" t="str">
        <f>"85600"</f>
        <v>85600</v>
      </c>
      <c r="I2001" t="str">
        <f>"MONTAIGU VENDEE"</f>
        <v>MONTAIGU VENDEE</v>
      </c>
      <c r="J2001" t="str">
        <f>"02 51 34 42 55 "</f>
        <v xml:space="preserve">02 51 34 42 55 </v>
      </c>
      <c r="L2001" s="1">
        <v>41288</v>
      </c>
      <c r="M2001" t="str">
        <f t="shared" si="329"/>
        <v>124</v>
      </c>
      <c r="N2001" t="str">
        <f t="shared" si="330"/>
        <v>Centre de Santé</v>
      </c>
      <c r="O2001" t="str">
        <f>"47"</f>
        <v>47</v>
      </c>
      <c r="P2001" t="str">
        <f>"Société Mutualiste"</f>
        <v>Société Mutualiste</v>
      </c>
      <c r="Q2001" t="str">
        <f t="shared" si="327"/>
        <v>36</v>
      </c>
      <c r="R2001" t="str">
        <f t="shared" si="328"/>
        <v>Tarifs conventionnels assurance maladie</v>
      </c>
      <c r="U2001" t="str">
        <f>"850028085"</f>
        <v>850028085</v>
      </c>
    </row>
    <row r="2002" spans="1:21" x14ac:dyDescent="0.3">
      <c r="A2002" t="str">
        <f>"130043466"</f>
        <v>130043466</v>
      </c>
      <c r="B2002" t="str">
        <f>"791 730 021 00049"</f>
        <v>791 730 021 00049</v>
      </c>
      <c r="D2002" t="str">
        <f>"CDS DENTAIRE CANEBIERE"</f>
        <v>CDS DENTAIRE CANEBIERE</v>
      </c>
      <c r="F2002" t="str">
        <f>"7 SQUARE STALINGRAD"</f>
        <v>7 SQUARE STALINGRAD</v>
      </c>
      <c r="H2002" t="str">
        <f>"13001"</f>
        <v>13001</v>
      </c>
      <c r="I2002" t="str">
        <f>"MARSEILLE"</f>
        <v>MARSEILLE</v>
      </c>
      <c r="J2002" t="str">
        <f>"04 96 14 14 22 "</f>
        <v xml:space="preserve">04 96 14 14 22 </v>
      </c>
      <c r="K2002" t="str">
        <f>"04 96 14 14 00"</f>
        <v>04 96 14 14 00</v>
      </c>
      <c r="L2002" s="1">
        <v>41276</v>
      </c>
      <c r="M2002" t="str">
        <f t="shared" si="329"/>
        <v>124</v>
      </c>
      <c r="N2002" t="str">
        <f t="shared" si="330"/>
        <v>Centre de Santé</v>
      </c>
      <c r="O2002" t="str">
        <f>"61"</f>
        <v>61</v>
      </c>
      <c r="P2002" t="str">
        <f>"Association Loi 1901 Reconnue d'Utilité Publique"</f>
        <v>Association Loi 1901 Reconnue d'Utilité Publique</v>
      </c>
      <c r="Q2002" t="str">
        <f t="shared" si="327"/>
        <v>36</v>
      </c>
      <c r="R2002" t="str">
        <f t="shared" si="328"/>
        <v>Tarifs conventionnels assurance maladie</v>
      </c>
      <c r="U2002" t="str">
        <f>"130043722"</f>
        <v>130043722</v>
      </c>
    </row>
    <row r="2003" spans="1:21" x14ac:dyDescent="0.3">
      <c r="A2003" t="str">
        <f>"340786862"</f>
        <v>340786862</v>
      </c>
      <c r="B2003" t="str">
        <f>"444 270 326 00242"</f>
        <v>444 270 326 00242</v>
      </c>
      <c r="D2003" t="str">
        <f>"CDS DENTAIRE MUTUALISTE LUNEL"</f>
        <v>CDS DENTAIRE MUTUALISTE LUNEL</v>
      </c>
      <c r="F2003" t="str">
        <f>"28 QUAI VOLTAIRE"</f>
        <v>28 QUAI VOLTAIRE</v>
      </c>
      <c r="H2003" t="str">
        <f>"34400"</f>
        <v>34400</v>
      </c>
      <c r="I2003" t="str">
        <f>"LUNEL"</f>
        <v>LUNEL</v>
      </c>
      <c r="J2003" t="str">
        <f>"04 67 71 13 24 "</f>
        <v xml:space="preserve">04 67 71 13 24 </v>
      </c>
      <c r="L2003" s="1">
        <v>41275</v>
      </c>
      <c r="M2003" t="str">
        <f t="shared" si="329"/>
        <v>124</v>
      </c>
      <c r="N2003" t="str">
        <f t="shared" si="330"/>
        <v>Centre de Santé</v>
      </c>
      <c r="O2003" t="str">
        <f>"47"</f>
        <v>47</v>
      </c>
      <c r="P2003" t="str">
        <f>"Société Mutualiste"</f>
        <v>Société Mutualiste</v>
      </c>
      <c r="Q2003" t="str">
        <f t="shared" si="327"/>
        <v>36</v>
      </c>
      <c r="R2003" t="str">
        <f t="shared" si="328"/>
        <v>Tarifs conventionnels assurance maladie</v>
      </c>
      <c r="U2003" t="str">
        <f>"340028901"</f>
        <v>340028901</v>
      </c>
    </row>
    <row r="2004" spans="1:21" x14ac:dyDescent="0.3">
      <c r="A2004" t="str">
        <f>"730009131"</f>
        <v>730009131</v>
      </c>
      <c r="B2004" t="str">
        <f>"775 648 223 00870"</f>
        <v>775 648 223 00870</v>
      </c>
      <c r="D2004" t="str">
        <f>"CENTRE DE SANTE MFS AIX-LES-BAINS"</f>
        <v>CENTRE DE SANTE MFS AIX-LES-BAINS</v>
      </c>
      <c r="F2004" t="str">
        <f>"9 AVENUE DU PETIT PORT"</f>
        <v>9 AVENUE DU PETIT PORT</v>
      </c>
      <c r="H2004" t="str">
        <f>"73100"</f>
        <v>73100</v>
      </c>
      <c r="I2004" t="str">
        <f>"AIX LES BAINS"</f>
        <v>AIX LES BAINS</v>
      </c>
      <c r="J2004" t="str">
        <f>"04 79 61 19 69 "</f>
        <v xml:space="preserve">04 79 61 19 69 </v>
      </c>
      <c r="K2004" t="str">
        <f>"04 79 88 44 63"</f>
        <v>04 79 88 44 63</v>
      </c>
      <c r="L2004" s="1">
        <v>41275</v>
      </c>
      <c r="M2004" t="str">
        <f t="shared" si="329"/>
        <v>124</v>
      </c>
      <c r="N2004" t="str">
        <f t="shared" si="330"/>
        <v>Centre de Santé</v>
      </c>
      <c r="O2004" t="str">
        <f>"47"</f>
        <v>47</v>
      </c>
      <c r="P2004" t="str">
        <f>"Société Mutualiste"</f>
        <v>Société Mutualiste</v>
      </c>
      <c r="Q2004" t="str">
        <f t="shared" si="327"/>
        <v>36</v>
      </c>
      <c r="R2004" t="str">
        <f t="shared" si="328"/>
        <v>Tarifs conventionnels assurance maladie</v>
      </c>
      <c r="U2004" t="str">
        <f>"690796602"</f>
        <v>690796602</v>
      </c>
    </row>
    <row r="2005" spans="1:21" x14ac:dyDescent="0.3">
      <c r="A2005" t="str">
        <f>"740008297"</f>
        <v>740008297</v>
      </c>
      <c r="B2005" t="str">
        <f>"775 648 223 00839"</f>
        <v>775 648 223 00839</v>
      </c>
      <c r="D2005" t="str">
        <f>"CENTRE DE SANTE MFS DENTAIRE ANNEMASSE"</f>
        <v>CENTRE DE SANTE MFS DENTAIRE ANNEMASSE</v>
      </c>
      <c r="F2005" t="str">
        <f>"30 AVENUE DE LA GARE"</f>
        <v>30 AVENUE DE LA GARE</v>
      </c>
      <c r="H2005" t="str">
        <f>"74100"</f>
        <v>74100</v>
      </c>
      <c r="I2005" t="str">
        <f>"ANNEMASSE"</f>
        <v>ANNEMASSE</v>
      </c>
      <c r="J2005" t="str">
        <f>"04 50 95 50 65 "</f>
        <v xml:space="preserve">04 50 95 50 65 </v>
      </c>
      <c r="K2005" t="str">
        <f>"04 50 38 35 63"</f>
        <v>04 50 38 35 63</v>
      </c>
      <c r="L2005" s="1">
        <v>41275</v>
      </c>
      <c r="M2005" t="str">
        <f t="shared" si="329"/>
        <v>124</v>
      </c>
      <c r="N2005" t="str">
        <f t="shared" si="330"/>
        <v>Centre de Santé</v>
      </c>
      <c r="O2005" t="str">
        <f>"47"</f>
        <v>47</v>
      </c>
      <c r="P2005" t="str">
        <f>"Société Mutualiste"</f>
        <v>Société Mutualiste</v>
      </c>
      <c r="Q2005" t="str">
        <f t="shared" si="327"/>
        <v>36</v>
      </c>
      <c r="R2005" t="str">
        <f t="shared" si="328"/>
        <v>Tarifs conventionnels assurance maladie</v>
      </c>
      <c r="U2005" t="str">
        <f>"690796602"</f>
        <v>690796602</v>
      </c>
    </row>
    <row r="2006" spans="1:21" x14ac:dyDescent="0.3">
      <c r="A2006" t="str">
        <f>"740783139"</f>
        <v>740783139</v>
      </c>
      <c r="B2006" t="str">
        <f>"775 648 223 00821"</f>
        <v>775 648 223 00821</v>
      </c>
      <c r="D2006" t="str">
        <f>"CENTRE DE SANTE MFS DENTAIRE ANNECY"</f>
        <v>CENTRE DE SANTE MFS DENTAIRE ANNECY</v>
      </c>
      <c r="F2006" t="str">
        <f>"1 RUE DE L'INDUSTRIE"</f>
        <v>1 RUE DE L'INDUSTRIE</v>
      </c>
      <c r="H2006" t="str">
        <f>"74000"</f>
        <v>74000</v>
      </c>
      <c r="I2006" t="str">
        <f>"ANNECY"</f>
        <v>ANNECY</v>
      </c>
      <c r="J2006" t="str">
        <f>"04 50 45 56 77 "</f>
        <v xml:space="preserve">04 50 45 56 77 </v>
      </c>
      <c r="K2006" t="str">
        <f>"04 50 45 83 03"</f>
        <v>04 50 45 83 03</v>
      </c>
      <c r="L2006" s="1">
        <v>41275</v>
      </c>
      <c r="M2006" t="str">
        <f t="shared" si="329"/>
        <v>124</v>
      </c>
      <c r="N2006" t="str">
        <f t="shared" si="330"/>
        <v>Centre de Santé</v>
      </c>
      <c r="O2006" t="str">
        <f>"47"</f>
        <v>47</v>
      </c>
      <c r="P2006" t="str">
        <f>"Société Mutualiste"</f>
        <v>Société Mutualiste</v>
      </c>
      <c r="Q2006" t="str">
        <f t="shared" si="327"/>
        <v>36</v>
      </c>
      <c r="R2006" t="str">
        <f t="shared" si="328"/>
        <v>Tarifs conventionnels assurance maladie</v>
      </c>
      <c r="U2006" t="str">
        <f>"690796602"</f>
        <v>690796602</v>
      </c>
    </row>
    <row r="2007" spans="1:21" x14ac:dyDescent="0.3">
      <c r="A2007" t="str">
        <f>"060023678"</f>
        <v>060023678</v>
      </c>
      <c r="B2007" t="str">
        <f>"190 609 313 00019"</f>
        <v>190 609 313 00019</v>
      </c>
      <c r="D2007" t="str">
        <f>"CENTRE DE SANTE POLYVALENT"</f>
        <v>CENTRE DE SANTE POLYVALENT</v>
      </c>
      <c r="E2007" t="str">
        <f>"2 POLE UNIVERSIT ST JEAN ANGELY"</f>
        <v>2 POLE UNIVERSIT ST JEAN ANGELY</v>
      </c>
      <c r="F2007" t="str">
        <f>"24 AVENUE DES DIABLES BLEUS"</f>
        <v>24 AVENUE DES DIABLES BLEUS</v>
      </c>
      <c r="H2007" t="str">
        <f>"06300"</f>
        <v>06300</v>
      </c>
      <c r="I2007" t="str">
        <f>"NICE"</f>
        <v>NICE</v>
      </c>
      <c r="J2007" t="str">
        <f>"04 89 15 14 61 "</f>
        <v xml:space="preserve">04 89 15 14 61 </v>
      </c>
      <c r="L2007" s="1">
        <v>41261</v>
      </c>
      <c r="M2007" t="str">
        <f t="shared" si="329"/>
        <v>124</v>
      </c>
      <c r="N2007" t="str">
        <f t="shared" si="330"/>
        <v>Centre de Santé</v>
      </c>
      <c r="O2007" t="str">
        <f>"61"</f>
        <v>61</v>
      </c>
      <c r="P2007" t="str">
        <f>"Association Loi 1901 Reconnue d'Utilité Publique"</f>
        <v>Association Loi 1901 Reconnue d'Utilité Publique</v>
      </c>
      <c r="Q2007" t="str">
        <f t="shared" si="327"/>
        <v>36</v>
      </c>
      <c r="R2007" t="str">
        <f t="shared" si="328"/>
        <v>Tarifs conventionnels assurance maladie</v>
      </c>
      <c r="U2007" t="str">
        <f>"060023660"</f>
        <v>060023660</v>
      </c>
    </row>
    <row r="2008" spans="1:21" x14ac:dyDescent="0.3">
      <c r="A2008" t="str">
        <f>"750053852"</f>
        <v>750053852</v>
      </c>
      <c r="B2008" t="str">
        <f>"790 283 113 00013"</f>
        <v>790 283 113 00013</v>
      </c>
      <c r="D2008" t="str">
        <f>"CDS DOREE"</f>
        <v>CDS DOREE</v>
      </c>
      <c r="F2008" t="str">
        <f>"67 BOULEVARD SOULT"</f>
        <v>67 BOULEVARD SOULT</v>
      </c>
      <c r="H2008" t="str">
        <f>"75012"</f>
        <v>75012</v>
      </c>
      <c r="I2008" t="str">
        <f>"PARIS"</f>
        <v>PARIS</v>
      </c>
      <c r="J2008" t="str">
        <f>"01 44 75 60 60 "</f>
        <v xml:space="preserve">01 44 75 60 60 </v>
      </c>
      <c r="K2008" t="str">
        <f>"01 44 75 60 77"</f>
        <v>01 44 75 60 77</v>
      </c>
      <c r="L2008" s="1">
        <v>41253</v>
      </c>
      <c r="M2008" t="str">
        <f t="shared" si="329"/>
        <v>124</v>
      </c>
      <c r="N2008" t="str">
        <f t="shared" si="330"/>
        <v>Centre de Santé</v>
      </c>
      <c r="O2008" t="str">
        <f>"60"</f>
        <v>60</v>
      </c>
      <c r="P2008" t="str">
        <f>"Association Loi 1901 non Reconnue d'Utilité Publique"</f>
        <v>Association Loi 1901 non Reconnue d'Utilité Publique</v>
      </c>
      <c r="Q2008" t="str">
        <f t="shared" si="327"/>
        <v>36</v>
      </c>
      <c r="R2008" t="str">
        <f t="shared" si="328"/>
        <v>Tarifs conventionnels assurance maladie</v>
      </c>
      <c r="U2008" t="str">
        <f>"750053845"</f>
        <v>750053845</v>
      </c>
    </row>
    <row r="2009" spans="1:21" x14ac:dyDescent="0.3">
      <c r="A2009" t="str">
        <f>"690790951"</f>
        <v>690790951</v>
      </c>
      <c r="B2009" t="str">
        <f>"775 648 223 00664"</f>
        <v>775 648 223 00664</v>
      </c>
      <c r="D2009" t="str">
        <f>"CENTRE DE SANTE MASARYK"</f>
        <v>CENTRE DE SANTE MASARYK</v>
      </c>
      <c r="F2009" t="str">
        <f>"15 RUE MASARYK"</f>
        <v>15 RUE MASARYK</v>
      </c>
      <c r="H2009" t="str">
        <f>"69009"</f>
        <v>69009</v>
      </c>
      <c r="I2009" t="str">
        <f>"LYON"</f>
        <v>LYON</v>
      </c>
      <c r="J2009" t="str">
        <f>"04 72 19 89 00 "</f>
        <v xml:space="preserve">04 72 19 89 00 </v>
      </c>
      <c r="K2009" t="str">
        <f>"04 72 19 89 03"</f>
        <v>04 72 19 89 03</v>
      </c>
      <c r="L2009" s="1">
        <v>41244</v>
      </c>
      <c r="M2009" t="str">
        <f t="shared" si="329"/>
        <v>124</v>
      </c>
      <c r="N2009" t="str">
        <f t="shared" si="330"/>
        <v>Centre de Santé</v>
      </c>
      <c r="O2009" t="str">
        <f>"47"</f>
        <v>47</v>
      </c>
      <c r="P2009" t="str">
        <f>"Société Mutualiste"</f>
        <v>Société Mutualiste</v>
      </c>
      <c r="Q2009" t="str">
        <f t="shared" si="327"/>
        <v>36</v>
      </c>
      <c r="R2009" t="str">
        <f t="shared" si="328"/>
        <v>Tarifs conventionnels assurance maladie</v>
      </c>
      <c r="U2009" t="str">
        <f>"690796602"</f>
        <v>690796602</v>
      </c>
    </row>
    <row r="2010" spans="1:21" x14ac:dyDescent="0.3">
      <c r="A2010" t="str">
        <f>"420013989"</f>
        <v>420013989</v>
      </c>
      <c r="B2010" t="str">
        <f>"789 741 188 00021"</f>
        <v>789 741 188 00021</v>
      </c>
      <c r="D2010" t="str">
        <f>"CENTRE DE SANTE ECHOGRAPHIE DU MARAIS"</f>
        <v>CENTRE DE SANTE ECHOGRAPHIE DU MARAIS</v>
      </c>
      <c r="F2010" t="str">
        <f>"14 RUE MOULIN PAILLASSON"</f>
        <v>14 RUE MOULIN PAILLASSON</v>
      </c>
      <c r="H2010" t="str">
        <f>"42300"</f>
        <v>42300</v>
      </c>
      <c r="I2010" t="str">
        <f>"ROANNE"</f>
        <v>ROANNE</v>
      </c>
      <c r="J2010" t="str">
        <f>"06 80 08 29 67 "</f>
        <v xml:space="preserve">06 80 08 29 67 </v>
      </c>
      <c r="L2010" s="1">
        <v>41242</v>
      </c>
      <c r="M2010" t="str">
        <f t="shared" si="329"/>
        <v>124</v>
      </c>
      <c r="N2010" t="str">
        <f t="shared" si="330"/>
        <v>Centre de Santé</v>
      </c>
      <c r="O2010" t="str">
        <f>"60"</f>
        <v>60</v>
      </c>
      <c r="P2010" t="str">
        <f>"Association Loi 1901 non Reconnue d'Utilité Publique"</f>
        <v>Association Loi 1901 non Reconnue d'Utilité Publique</v>
      </c>
      <c r="Q2010" t="str">
        <f t="shared" si="327"/>
        <v>36</v>
      </c>
      <c r="R2010" t="str">
        <f t="shared" si="328"/>
        <v>Tarifs conventionnels assurance maladie</v>
      </c>
      <c r="U2010" t="str">
        <f>"420013971"</f>
        <v>420013971</v>
      </c>
    </row>
    <row r="2011" spans="1:21" x14ac:dyDescent="0.3">
      <c r="A2011" t="str">
        <f>"940021330"</f>
        <v>940021330</v>
      </c>
      <c r="B2011" t="str">
        <f>"534 751 722 00024"</f>
        <v>534 751 722 00024</v>
      </c>
      <c r="D2011" t="str">
        <f>"CDS MEDICO DENTAIRE KREMLIN BICETRE"</f>
        <v>CDS MEDICO DENTAIRE KREMLIN BICETRE</v>
      </c>
      <c r="F2011" t="str">
        <f>"60 AVENUE DE FONTAINEBLEAU"</f>
        <v>60 AVENUE DE FONTAINEBLEAU</v>
      </c>
      <c r="H2011" t="str">
        <f>"94270"</f>
        <v>94270</v>
      </c>
      <c r="I2011" t="str">
        <f>"LE KREMLIN BICETRE"</f>
        <v>LE KREMLIN BICETRE</v>
      </c>
      <c r="J2011" t="str">
        <f>"07 62 12 40 28 "</f>
        <v xml:space="preserve">07 62 12 40 28 </v>
      </c>
      <c r="L2011" s="1">
        <v>41234</v>
      </c>
      <c r="M2011" t="str">
        <f t="shared" si="329"/>
        <v>124</v>
      </c>
      <c r="N2011" t="str">
        <f t="shared" si="330"/>
        <v>Centre de Santé</v>
      </c>
      <c r="O2011" t="str">
        <f>"60"</f>
        <v>60</v>
      </c>
      <c r="P2011" t="str">
        <f>"Association Loi 1901 non Reconnue d'Utilité Publique"</f>
        <v>Association Loi 1901 non Reconnue d'Utilité Publique</v>
      </c>
      <c r="Q2011" t="str">
        <f t="shared" si="327"/>
        <v>36</v>
      </c>
      <c r="R2011" t="str">
        <f t="shared" si="328"/>
        <v>Tarifs conventionnels assurance maladie</v>
      </c>
      <c r="U2011" t="str">
        <f>"750050437"</f>
        <v>750050437</v>
      </c>
    </row>
    <row r="2012" spans="1:21" x14ac:dyDescent="0.3">
      <c r="A2012" t="str">
        <f>"670016336"</f>
        <v>670016336</v>
      </c>
      <c r="B2012" t="str">
        <f>"434 111 126 00299"</f>
        <v>434 111 126 00299</v>
      </c>
      <c r="D2012" t="str">
        <f>"CENTRE DE SANTÉ DENTAIRE DE HAGUENAU"</f>
        <v>CENTRE DE SANTÉ DENTAIRE DE HAGUENAU</v>
      </c>
      <c r="F2012" t="str">
        <f>"6 RUE DU MARCHÉ AUX GRAINS"</f>
        <v>6 RUE DU MARCHÉ AUX GRAINS</v>
      </c>
      <c r="H2012" t="str">
        <f>"67500"</f>
        <v>67500</v>
      </c>
      <c r="I2012" t="str">
        <f>"HAGUENAU"</f>
        <v>HAGUENAU</v>
      </c>
      <c r="J2012" t="str">
        <f>"03 90 59 05 90 "</f>
        <v xml:space="preserve">03 90 59 05 90 </v>
      </c>
      <c r="L2012" s="1">
        <v>41229</v>
      </c>
      <c r="M2012" t="str">
        <f t="shared" si="329"/>
        <v>124</v>
      </c>
      <c r="N2012" t="str">
        <f t="shared" si="330"/>
        <v>Centre de Santé</v>
      </c>
      <c r="O2012" t="str">
        <f>"47"</f>
        <v>47</v>
      </c>
      <c r="P2012" t="str">
        <f>"Société Mutualiste"</f>
        <v>Société Mutualiste</v>
      </c>
      <c r="Q2012" t="str">
        <f t="shared" si="327"/>
        <v>36</v>
      </c>
      <c r="R2012" t="str">
        <f t="shared" si="328"/>
        <v>Tarifs conventionnels assurance maladie</v>
      </c>
      <c r="U2012" t="str">
        <f>"670010339"</f>
        <v>670010339</v>
      </c>
    </row>
    <row r="2013" spans="1:21" x14ac:dyDescent="0.3">
      <c r="A2013" t="str">
        <f>"930024567"</f>
        <v>930024567</v>
      </c>
      <c r="B2013" t="str">
        <f>"789 621 166 00022"</f>
        <v>789 621 166 00022</v>
      </c>
      <c r="D2013" t="str">
        <f>"CDS MEDICAL ASNAN"</f>
        <v>CDS MEDICAL ASNAN</v>
      </c>
      <c r="F2013" t="str">
        <f>"56 RUE FELIX MERLIN"</f>
        <v>56 RUE FELIX MERLIN</v>
      </c>
      <c r="H2013" t="str">
        <f>"93800"</f>
        <v>93800</v>
      </c>
      <c r="I2013" t="str">
        <f>"EPINAY SUR SEINE"</f>
        <v>EPINAY SUR SEINE</v>
      </c>
      <c r="J2013" t="str">
        <f>"01 48 20 61 88 "</f>
        <v xml:space="preserve">01 48 20 61 88 </v>
      </c>
      <c r="K2013" t="str">
        <f>"01 48 20 61 24"</f>
        <v>01 48 20 61 24</v>
      </c>
      <c r="L2013" s="1">
        <v>41221</v>
      </c>
      <c r="M2013" t="str">
        <f t="shared" si="329"/>
        <v>124</v>
      </c>
      <c r="N2013" t="str">
        <f t="shared" si="330"/>
        <v>Centre de Santé</v>
      </c>
      <c r="O2013" t="str">
        <f>"60"</f>
        <v>60</v>
      </c>
      <c r="P2013" t="str">
        <f>"Association Loi 1901 non Reconnue d'Utilité Publique"</f>
        <v>Association Loi 1901 non Reconnue d'Utilité Publique</v>
      </c>
      <c r="Q2013" t="str">
        <f t="shared" si="327"/>
        <v>36</v>
      </c>
      <c r="R2013" t="str">
        <f t="shared" si="328"/>
        <v>Tarifs conventionnels assurance maladie</v>
      </c>
      <c r="U2013" t="str">
        <f>"750052755"</f>
        <v>750052755</v>
      </c>
    </row>
    <row r="2014" spans="1:21" x14ac:dyDescent="0.3">
      <c r="A2014" t="str">
        <f>"750052748"</f>
        <v>750052748</v>
      </c>
      <c r="B2014" t="str">
        <f>"752 045 518 00012"</f>
        <v>752 045 518 00012</v>
      </c>
      <c r="D2014" t="str">
        <f>"CDS DENTAIRE ARCHEREAU"</f>
        <v>CDS DENTAIRE ARCHEREAU</v>
      </c>
      <c r="F2014" t="str">
        <f>"41 RUE ARCHEREAU"</f>
        <v>41 RUE ARCHEREAU</v>
      </c>
      <c r="H2014" t="str">
        <f>"75019"</f>
        <v>75019</v>
      </c>
      <c r="I2014" t="str">
        <f>"PARIS"</f>
        <v>PARIS</v>
      </c>
      <c r="J2014" t="str">
        <f>"01 42 05 57 69 "</f>
        <v xml:space="preserve">01 42 05 57 69 </v>
      </c>
      <c r="L2014" s="1">
        <v>41218</v>
      </c>
      <c r="M2014" t="str">
        <f t="shared" si="329"/>
        <v>124</v>
      </c>
      <c r="N2014" t="str">
        <f t="shared" si="330"/>
        <v>Centre de Santé</v>
      </c>
      <c r="O2014" t="str">
        <f>"60"</f>
        <v>60</v>
      </c>
      <c r="P2014" t="str">
        <f>"Association Loi 1901 non Reconnue d'Utilité Publique"</f>
        <v>Association Loi 1901 non Reconnue d'Utilité Publique</v>
      </c>
      <c r="Q2014" t="str">
        <f t="shared" si="327"/>
        <v>36</v>
      </c>
      <c r="R2014" t="str">
        <f t="shared" si="328"/>
        <v>Tarifs conventionnels assurance maladie</v>
      </c>
      <c r="U2014" t="str">
        <f>"750052730"</f>
        <v>750052730</v>
      </c>
    </row>
    <row r="2015" spans="1:21" x14ac:dyDescent="0.3">
      <c r="A2015" t="str">
        <f>"750052722"</f>
        <v>750052722</v>
      </c>
      <c r="B2015" t="str">
        <f>"784 570 632 00017"</f>
        <v>784 570 632 00017</v>
      </c>
      <c r="D2015" t="str">
        <f>"CDS FOURNIER CHEMIN VERT"</f>
        <v>CDS FOURNIER CHEMIN VERT</v>
      </c>
      <c r="E2015" t="str">
        <f>"44-50"</f>
        <v>44-50</v>
      </c>
      <c r="F2015" t="str">
        <f>"44 RUE PETION"</f>
        <v>44 RUE PETION</v>
      </c>
      <c r="H2015" t="str">
        <f>"75011"</f>
        <v>75011</v>
      </c>
      <c r="I2015" t="str">
        <f>"PARIS"</f>
        <v>PARIS</v>
      </c>
      <c r="J2015" t="str">
        <f>"01 40 78 26 00 "</f>
        <v xml:space="preserve">01 40 78 26 00 </v>
      </c>
      <c r="K2015" t="str">
        <f>"01 45 89 74 05"</f>
        <v>01 45 89 74 05</v>
      </c>
      <c r="L2015" s="1">
        <v>41210</v>
      </c>
      <c r="M2015" t="str">
        <f t="shared" si="329"/>
        <v>124</v>
      </c>
      <c r="N2015" t="str">
        <f t="shared" si="330"/>
        <v>Centre de Santé</v>
      </c>
      <c r="O2015" t="str">
        <f>"61"</f>
        <v>61</v>
      </c>
      <c r="P2015" t="str">
        <f>"Association Loi 1901 Reconnue d'Utilité Publique"</f>
        <v>Association Loi 1901 Reconnue d'Utilité Publique</v>
      </c>
      <c r="Q2015" t="str">
        <f t="shared" si="327"/>
        <v>36</v>
      </c>
      <c r="R2015" t="str">
        <f t="shared" si="328"/>
        <v>Tarifs conventionnels assurance maladie</v>
      </c>
      <c r="U2015" t="str">
        <f>"750809931"</f>
        <v>750809931</v>
      </c>
    </row>
    <row r="2016" spans="1:21" x14ac:dyDescent="0.3">
      <c r="A2016" t="str">
        <f>"910020262"</f>
        <v>910020262</v>
      </c>
      <c r="B2016" t="str">
        <f>"332 251 610 00025"</f>
        <v>332 251 610 00025</v>
      </c>
      <c r="D2016" t="str">
        <f>"CDS ONERA A PALAISEAU"</f>
        <v>CDS ONERA A PALAISEAU</v>
      </c>
      <c r="F2016" t="str">
        <f>"CHEMIN DE LA HUNIERE"</f>
        <v>CHEMIN DE LA HUNIERE</v>
      </c>
      <c r="G2016" t="str">
        <f>"BP 80100"</f>
        <v>BP 80100</v>
      </c>
      <c r="H2016" t="str">
        <f>"91123"</f>
        <v>91123</v>
      </c>
      <c r="I2016" t="str">
        <f>"PALAISEAU CEDEX"</f>
        <v>PALAISEAU CEDEX</v>
      </c>
      <c r="J2016" t="str">
        <f>"01 80 38 60 60 "</f>
        <v xml:space="preserve">01 80 38 60 60 </v>
      </c>
      <c r="K2016" t="str">
        <f>"01 80 38 65 10"</f>
        <v>01 80 38 65 10</v>
      </c>
      <c r="L2016" s="1">
        <v>41193</v>
      </c>
      <c r="M2016" t="str">
        <f t="shared" si="329"/>
        <v>124</v>
      </c>
      <c r="N2016" t="str">
        <f t="shared" si="330"/>
        <v>Centre de Santé</v>
      </c>
      <c r="O2016" t="str">
        <f>"50"</f>
        <v>50</v>
      </c>
      <c r="P2016" t="str">
        <f>"Comité d'Entreprise ou Comité d'Etablissement"</f>
        <v>Comité d'Entreprise ou Comité d'Etablissement</v>
      </c>
      <c r="Q2016" t="str">
        <f t="shared" si="327"/>
        <v>36</v>
      </c>
      <c r="R2016" t="str">
        <f t="shared" si="328"/>
        <v>Tarifs conventionnels assurance maladie</v>
      </c>
      <c r="U2016" t="str">
        <f>"920000437"</f>
        <v>920000437</v>
      </c>
    </row>
    <row r="2017" spans="1:21" x14ac:dyDescent="0.3">
      <c r="A2017" t="str">
        <f>"070006747"</f>
        <v>070006747</v>
      </c>
      <c r="B2017" t="str">
        <f>"775 761 844 01336"</f>
        <v>775 761 844 01336</v>
      </c>
      <c r="D2017" t="str">
        <f>"CENTRE DE SANTE OXANCE LE TEIL"</f>
        <v>CENTRE DE SANTE OXANCE LE TEIL</v>
      </c>
      <c r="F2017" t="str">
        <f>"CHEMIN DU DEPOT"</f>
        <v>CHEMIN DU DEPOT</v>
      </c>
      <c r="G2017" t="str">
        <f>"ZAC LA ROTONDE"</f>
        <v>ZAC LA ROTONDE</v>
      </c>
      <c r="H2017" t="str">
        <f>"07400"</f>
        <v>07400</v>
      </c>
      <c r="I2017" t="str">
        <f>"LE TEIL"</f>
        <v>LE TEIL</v>
      </c>
      <c r="K2017" t="str">
        <f>"04 75 02 85 03"</f>
        <v>04 75 02 85 03</v>
      </c>
      <c r="L2017" s="1">
        <v>41183</v>
      </c>
      <c r="M2017" t="str">
        <f t="shared" si="329"/>
        <v>124</v>
      </c>
      <c r="N2017" t="str">
        <f t="shared" si="330"/>
        <v>Centre de Santé</v>
      </c>
      <c r="O2017" t="str">
        <f>"47"</f>
        <v>47</v>
      </c>
      <c r="P2017" t="str">
        <f>"Société Mutualiste"</f>
        <v>Société Mutualiste</v>
      </c>
      <c r="Q2017" t="str">
        <f t="shared" si="327"/>
        <v>36</v>
      </c>
      <c r="R2017" t="str">
        <f t="shared" si="328"/>
        <v>Tarifs conventionnels assurance maladie</v>
      </c>
      <c r="U2017" t="str">
        <f>"690048111"</f>
        <v>690048111</v>
      </c>
    </row>
    <row r="2018" spans="1:21" x14ac:dyDescent="0.3">
      <c r="A2018" t="str">
        <f>"350048914"</f>
        <v>350048914</v>
      </c>
      <c r="D2018" t="str">
        <f>"CDS DE FOUGERES"</f>
        <v>CDS DE FOUGERES</v>
      </c>
      <c r="F2018" t="str">
        <f>"8 RUE GASTON CORDIER"</f>
        <v>8 RUE GASTON CORDIER</v>
      </c>
      <c r="H2018" t="str">
        <f>"35300"</f>
        <v>35300</v>
      </c>
      <c r="I2018" t="str">
        <f>"FOUGERES"</f>
        <v>FOUGERES</v>
      </c>
      <c r="J2018" t="str">
        <f>"02 56 13 80 09 "</f>
        <v xml:space="preserve">02 56 13 80 09 </v>
      </c>
      <c r="L2018" s="1">
        <v>41183</v>
      </c>
      <c r="M2018" t="str">
        <f t="shared" si="329"/>
        <v>124</v>
      </c>
      <c r="N2018" t="str">
        <f t="shared" si="330"/>
        <v>Centre de Santé</v>
      </c>
      <c r="O2018" t="str">
        <f>"13"</f>
        <v>13</v>
      </c>
      <c r="P2018" t="str">
        <f>"Etablissement Public Communal d'Hospitalisation"</f>
        <v>Etablissement Public Communal d'Hospitalisation</v>
      </c>
      <c r="Q2018" t="str">
        <f t="shared" si="327"/>
        <v>36</v>
      </c>
      <c r="R2018" t="str">
        <f t="shared" si="328"/>
        <v>Tarifs conventionnels assurance maladie</v>
      </c>
      <c r="U2018" t="str">
        <f>"350000030"</f>
        <v>350000030</v>
      </c>
    </row>
    <row r="2019" spans="1:21" x14ac:dyDescent="0.3">
      <c r="A2019" t="str">
        <f>"720019595"</f>
        <v>720019595</v>
      </c>
      <c r="B2019" t="str">
        <f>"217 200 906 00014"</f>
        <v>217 200 906 00014</v>
      </c>
      <c r="D2019" t="str">
        <f>"CENTRE MUNICIPAL DE SANTE DE CONNERRE"</f>
        <v>CENTRE MUNICIPAL DE SANTE DE CONNERRE</v>
      </c>
      <c r="F2019" t="str">
        <f>"RUE DU PETIT TRAIN"</f>
        <v>RUE DU PETIT TRAIN</v>
      </c>
      <c r="H2019" t="str">
        <f>"72160"</f>
        <v>72160</v>
      </c>
      <c r="I2019" t="str">
        <f>"CONNERRE"</f>
        <v>CONNERRE</v>
      </c>
      <c r="J2019" t="str">
        <f>"02 43 89 89 47 "</f>
        <v xml:space="preserve">02 43 89 89 47 </v>
      </c>
      <c r="L2019" s="1">
        <v>41167</v>
      </c>
      <c r="M2019" t="str">
        <f t="shared" si="329"/>
        <v>124</v>
      </c>
      <c r="N2019" t="str">
        <f t="shared" si="330"/>
        <v>Centre de Santé</v>
      </c>
      <c r="O2019" t="str">
        <f>"03"</f>
        <v>03</v>
      </c>
      <c r="P2019" t="str">
        <f>"Commune"</f>
        <v>Commune</v>
      </c>
      <c r="Q2019" t="str">
        <f t="shared" si="327"/>
        <v>36</v>
      </c>
      <c r="R2019" t="str">
        <f t="shared" si="328"/>
        <v>Tarifs conventionnels assurance maladie</v>
      </c>
      <c r="U2019" t="str">
        <f>"720019587"</f>
        <v>720019587</v>
      </c>
    </row>
    <row r="2020" spans="1:21" x14ac:dyDescent="0.3">
      <c r="A2020" t="str">
        <f>"490018660"</f>
        <v>490018660</v>
      </c>
      <c r="B2020" t="str">
        <f>"775 609 555 00252"</f>
        <v>775 609 555 00252</v>
      </c>
      <c r="D2020" t="str">
        <f>"CENTRE DE SANTE DE MORANNES"</f>
        <v>CENTRE DE SANTE DE MORANNES</v>
      </c>
      <c r="F2020" t="str">
        <f>"1 RUE DES MOULINS"</f>
        <v>1 RUE DES MOULINS</v>
      </c>
      <c r="H2020" t="str">
        <f>"49640"</f>
        <v>49640</v>
      </c>
      <c r="I2020" t="str">
        <f>"MORANNES SUR SARTHE DAUMER"</f>
        <v>MORANNES SUR SARTHE DAUMER</v>
      </c>
      <c r="J2020" t="str">
        <f>"02 41 72 06 12 "</f>
        <v xml:space="preserve">02 41 72 06 12 </v>
      </c>
      <c r="L2020" s="1">
        <v>41165</v>
      </c>
      <c r="M2020" t="str">
        <f t="shared" si="329"/>
        <v>124</v>
      </c>
      <c r="N2020" t="str">
        <f t="shared" si="330"/>
        <v>Centre de Santé</v>
      </c>
      <c r="O2020" t="str">
        <f>"60"</f>
        <v>60</v>
      </c>
      <c r="P2020" t="str">
        <f>"Association Loi 1901 non Reconnue d'Utilité Publique"</f>
        <v>Association Loi 1901 non Reconnue d'Utilité Publique</v>
      </c>
      <c r="Q2020" t="str">
        <f t="shared" ref="Q2020:Q2083" si="331">"36"</f>
        <v>36</v>
      </c>
      <c r="R2020" t="str">
        <f t="shared" ref="R2020:R2083" si="332">"Tarifs conventionnels assurance maladie"</f>
        <v>Tarifs conventionnels assurance maladie</v>
      </c>
      <c r="U2020" t="str">
        <f>"490535663"</f>
        <v>490535663</v>
      </c>
    </row>
    <row r="2021" spans="1:21" x14ac:dyDescent="0.3">
      <c r="A2021" t="str">
        <f>"690038633"</f>
        <v>690038633</v>
      </c>
      <c r="D2021" t="str">
        <f>"CENTRE DE SANTE CALYDIAL IRIGNY"</f>
        <v>CENTRE DE SANTE CALYDIAL IRIGNY</v>
      </c>
      <c r="F2021" t="str">
        <f>"51 RUE D'YVOURS"</f>
        <v>51 RUE D'YVOURS</v>
      </c>
      <c r="H2021" t="str">
        <f>"69540"</f>
        <v>69540</v>
      </c>
      <c r="I2021" t="str">
        <f>"IRIGNY"</f>
        <v>IRIGNY</v>
      </c>
      <c r="L2021" s="1">
        <v>41164</v>
      </c>
      <c r="M2021" t="str">
        <f t="shared" si="329"/>
        <v>124</v>
      </c>
      <c r="N2021" t="str">
        <f t="shared" si="330"/>
        <v>Centre de Santé</v>
      </c>
      <c r="O2021" t="str">
        <f>"60"</f>
        <v>60</v>
      </c>
      <c r="P2021" t="str">
        <f>"Association Loi 1901 non Reconnue d'Utilité Publique"</f>
        <v>Association Loi 1901 non Reconnue d'Utilité Publique</v>
      </c>
      <c r="Q2021" t="str">
        <f t="shared" si="331"/>
        <v>36</v>
      </c>
      <c r="R2021" t="str">
        <f t="shared" si="332"/>
        <v>Tarifs conventionnels assurance maladie</v>
      </c>
      <c r="U2021" t="str">
        <f>"690002225"</f>
        <v>690002225</v>
      </c>
    </row>
    <row r="2022" spans="1:21" x14ac:dyDescent="0.3">
      <c r="A2022" t="str">
        <f>"710013970"</f>
        <v>710013970</v>
      </c>
      <c r="D2022" t="str">
        <f>"CENTRE DE SANTÉ DENTAIRE MUTUALISTE"</f>
        <v>CENTRE DE SANTÉ DENTAIRE MUTUALISTE</v>
      </c>
      <c r="F2022" t="str">
        <f>"25 PLACE DE L'ÉGLISE"</f>
        <v>25 PLACE DE L'ÉGLISE</v>
      </c>
      <c r="H2022" t="str">
        <f>"71440"</f>
        <v>71440</v>
      </c>
      <c r="I2022" t="str">
        <f>"MONTRET"</f>
        <v>MONTRET</v>
      </c>
      <c r="J2022" t="str">
        <f>"03 85 76 51 50 "</f>
        <v xml:space="preserve">03 85 76 51 50 </v>
      </c>
      <c r="L2022" s="1">
        <v>41156</v>
      </c>
      <c r="M2022" t="str">
        <f t="shared" si="329"/>
        <v>124</v>
      </c>
      <c r="N2022" t="str">
        <f t="shared" si="330"/>
        <v>Centre de Santé</v>
      </c>
      <c r="O2022" t="str">
        <f>"47"</f>
        <v>47</v>
      </c>
      <c r="P2022" t="str">
        <f>"Société Mutualiste"</f>
        <v>Société Mutualiste</v>
      </c>
      <c r="Q2022" t="str">
        <f t="shared" si="331"/>
        <v>36</v>
      </c>
      <c r="R2022" t="str">
        <f t="shared" si="332"/>
        <v>Tarifs conventionnels assurance maladie</v>
      </c>
      <c r="U2022" t="str">
        <f>"710784109"</f>
        <v>710784109</v>
      </c>
    </row>
    <row r="2023" spans="1:21" x14ac:dyDescent="0.3">
      <c r="A2023" t="str">
        <f>"030007249"</f>
        <v>030007249</v>
      </c>
      <c r="B2023" t="str">
        <f>"190 308 585 00016"</f>
        <v>190 308 585 00016</v>
      </c>
      <c r="D2023" t="str">
        <f>"POLE MEDICAL SPORTIF CREPS"</f>
        <v>POLE MEDICAL SPORTIF CREPS</v>
      </c>
      <c r="F2023" t="str">
        <f>"2 ROUTE DE CHARMEIL"</f>
        <v>2 ROUTE DE CHARMEIL</v>
      </c>
      <c r="G2023" t="str">
        <f>"BP 40013"</f>
        <v>BP 40013</v>
      </c>
      <c r="H2023" t="str">
        <f>"03700"</f>
        <v>03700</v>
      </c>
      <c r="I2023" t="str">
        <f>"BELLERIVE SUR ALLIER"</f>
        <v>BELLERIVE SUR ALLIER</v>
      </c>
      <c r="J2023" t="str">
        <f>"04 70 59 85 60 "</f>
        <v xml:space="preserve">04 70 59 85 60 </v>
      </c>
      <c r="K2023" t="str">
        <f>"04 70 32 62 07"</f>
        <v>04 70 32 62 07</v>
      </c>
      <c r="L2023" s="1">
        <v>41155</v>
      </c>
      <c r="M2023" t="str">
        <f t="shared" si="329"/>
        <v>124</v>
      </c>
      <c r="N2023" t="str">
        <f t="shared" si="330"/>
        <v>Centre de Santé</v>
      </c>
      <c r="O2023" t="str">
        <f>"26"</f>
        <v>26</v>
      </c>
      <c r="P2023" t="str">
        <f>"Autre Etablissement Public à Caractère Administratif"</f>
        <v>Autre Etablissement Public à Caractère Administratif</v>
      </c>
      <c r="Q2023" t="str">
        <f t="shared" si="331"/>
        <v>36</v>
      </c>
      <c r="R2023" t="str">
        <f t="shared" si="332"/>
        <v>Tarifs conventionnels assurance maladie</v>
      </c>
      <c r="U2023" t="str">
        <f>"030007231"</f>
        <v>030007231</v>
      </c>
    </row>
    <row r="2024" spans="1:21" x14ac:dyDescent="0.3">
      <c r="A2024" t="str">
        <f>"420782542"</f>
        <v>420782542</v>
      </c>
      <c r="B2024" t="str">
        <f>"789 237 641 00103"</f>
        <v>789 237 641 00103</v>
      </c>
      <c r="D2024" t="str">
        <f>"CENTRE DE SANTE PLEIADES - ROANNE"</f>
        <v>CENTRE DE SANTE PLEIADES - ROANNE</v>
      </c>
      <c r="F2024" t="str">
        <f>"11 RUE DU MAYOLLET"</f>
        <v>11 RUE DU MAYOLLET</v>
      </c>
      <c r="H2024" t="str">
        <f>"42300"</f>
        <v>42300</v>
      </c>
      <c r="I2024" t="str">
        <f>"ROANNE"</f>
        <v>ROANNE</v>
      </c>
      <c r="J2024" t="str">
        <f>"04 77 23 25 24 "</f>
        <v xml:space="preserve">04 77 23 25 24 </v>
      </c>
      <c r="K2024" t="str">
        <f>"04 77 72 05 52"</f>
        <v>04 77 72 05 52</v>
      </c>
      <c r="L2024" s="1">
        <v>41153</v>
      </c>
      <c r="M2024" t="str">
        <f t="shared" si="329"/>
        <v>124</v>
      </c>
      <c r="N2024" t="str">
        <f t="shared" si="330"/>
        <v>Centre de Santé</v>
      </c>
      <c r="O2024" t="str">
        <f>"60"</f>
        <v>60</v>
      </c>
      <c r="P2024" t="str">
        <f>"Association Loi 1901 non Reconnue d'Utilité Publique"</f>
        <v>Association Loi 1901 non Reconnue d'Utilité Publique</v>
      </c>
      <c r="Q2024" t="str">
        <f t="shared" si="331"/>
        <v>36</v>
      </c>
      <c r="R2024" t="str">
        <f t="shared" si="332"/>
        <v>Tarifs conventionnels assurance maladie</v>
      </c>
      <c r="U2024" t="str">
        <f>"420013963"</f>
        <v>420013963</v>
      </c>
    </row>
    <row r="2025" spans="1:21" x14ac:dyDescent="0.3">
      <c r="A2025" t="str">
        <f>"250019254"</f>
        <v>250019254</v>
      </c>
      <c r="B2025" t="str">
        <f>"212 500 565 00016"</f>
        <v>212 500 565 00016</v>
      </c>
      <c r="D2025" t="str">
        <f>"CENTRE VACCINATION DHS VILLE BESANCON"</f>
        <v>CENTRE VACCINATION DHS VILLE BESANCON</v>
      </c>
      <c r="F2025" t="str">
        <f>"15 RUE MEGEVAND"</f>
        <v>15 RUE MEGEVAND</v>
      </c>
      <c r="H2025" t="str">
        <f>"25000"</f>
        <v>25000</v>
      </c>
      <c r="I2025" t="str">
        <f>"BESANCON"</f>
        <v>BESANCON</v>
      </c>
      <c r="J2025" t="str">
        <f>"03 81 87 80 90 "</f>
        <v xml:space="preserve">03 81 87 80 90 </v>
      </c>
      <c r="L2025" s="1">
        <v>41137</v>
      </c>
      <c r="M2025" t="str">
        <f t="shared" si="329"/>
        <v>124</v>
      </c>
      <c r="N2025" t="str">
        <f t="shared" si="330"/>
        <v>Centre de Santé</v>
      </c>
      <c r="O2025" t="str">
        <f>"03"</f>
        <v>03</v>
      </c>
      <c r="P2025" t="str">
        <f>"Commune"</f>
        <v>Commune</v>
      </c>
      <c r="Q2025" t="str">
        <f t="shared" si="331"/>
        <v>36</v>
      </c>
      <c r="R2025" t="str">
        <f t="shared" si="332"/>
        <v>Tarifs conventionnels assurance maladie</v>
      </c>
      <c r="U2025" t="str">
        <f>"250006442"</f>
        <v>250006442</v>
      </c>
    </row>
    <row r="2026" spans="1:21" x14ac:dyDescent="0.3">
      <c r="A2026" t="str">
        <f>"260015292"</f>
        <v>260015292</v>
      </c>
      <c r="B2026" t="str">
        <f>"775 761 844 01294"</f>
        <v>775 761 844 01294</v>
      </c>
      <c r="D2026" t="str">
        <f>"CENTRE DE SANTE OXANCE ROMANS/ISERE"</f>
        <v>CENTRE DE SANTE OXANCE ROMANS/ISERE</v>
      </c>
      <c r="E2026" t="str">
        <f>"L'ESCALE BLANCHE"</f>
        <v>L'ESCALE BLANCHE</v>
      </c>
      <c r="F2026" t="str">
        <f>"73 AVENUE DU MAQUIS"</f>
        <v>73 AVENUE DU MAQUIS</v>
      </c>
      <c r="H2026" t="str">
        <f>"26100"</f>
        <v>26100</v>
      </c>
      <c r="I2026" t="str">
        <f>"ROMANS SUR ISERE"</f>
        <v>ROMANS SUR ISERE</v>
      </c>
      <c r="J2026" t="str">
        <f>"04 75 05 66 86 "</f>
        <v xml:space="preserve">04 75 05 66 86 </v>
      </c>
      <c r="K2026" t="str">
        <f>"04 75 02 85 03"</f>
        <v>04 75 02 85 03</v>
      </c>
      <c r="L2026" s="1">
        <v>41122</v>
      </c>
      <c r="M2026" t="str">
        <f t="shared" si="329"/>
        <v>124</v>
      </c>
      <c r="N2026" t="str">
        <f t="shared" si="330"/>
        <v>Centre de Santé</v>
      </c>
      <c r="O2026" t="str">
        <f>"47"</f>
        <v>47</v>
      </c>
      <c r="P2026" t="str">
        <f>"Société Mutualiste"</f>
        <v>Société Mutualiste</v>
      </c>
      <c r="Q2026" t="str">
        <f t="shared" si="331"/>
        <v>36</v>
      </c>
      <c r="R2026" t="str">
        <f t="shared" si="332"/>
        <v>Tarifs conventionnels assurance maladie</v>
      </c>
      <c r="U2026" t="str">
        <f>"690048111"</f>
        <v>690048111</v>
      </c>
    </row>
    <row r="2027" spans="1:21" x14ac:dyDescent="0.3">
      <c r="A2027" t="str">
        <f>"110006343"</f>
        <v>110006343</v>
      </c>
      <c r="B2027" t="str">
        <f>"512 611 781 00471"</f>
        <v>512 611 781 00471</v>
      </c>
      <c r="D2027" t="str">
        <f>"CENTRE DE SANTE DENTAIRE CARCASSONNE"</f>
        <v>CENTRE DE SANTE DENTAIRE CARCASSONNE</v>
      </c>
      <c r="F2027" t="str">
        <f>"230 RUE GUSTAVE EIFFEL"</f>
        <v>230 RUE GUSTAVE EIFFEL</v>
      </c>
      <c r="H2027" t="str">
        <f>"11000"</f>
        <v>11000</v>
      </c>
      <c r="I2027" t="str">
        <f>"CARCASSONNE"</f>
        <v>CARCASSONNE</v>
      </c>
      <c r="J2027" t="str">
        <f>"04 68 45 53 70 "</f>
        <v xml:space="preserve">04 68 45 53 70 </v>
      </c>
      <c r="K2027" t="str">
        <f>"04 68 42 22 81"</f>
        <v>04 68 42 22 81</v>
      </c>
      <c r="L2027" s="1">
        <v>41120</v>
      </c>
      <c r="M2027" t="str">
        <f t="shared" si="329"/>
        <v>124</v>
      </c>
      <c r="N2027" t="str">
        <f t="shared" si="330"/>
        <v>Centre de Santé</v>
      </c>
      <c r="O2027" t="str">
        <f>"60"</f>
        <v>60</v>
      </c>
      <c r="P2027" t="str">
        <f>"Association Loi 1901 non Reconnue d'Utilité Publique"</f>
        <v>Association Loi 1901 non Reconnue d'Utilité Publique</v>
      </c>
      <c r="Q2027" t="str">
        <f t="shared" si="331"/>
        <v>36</v>
      </c>
      <c r="R2027" t="str">
        <f t="shared" si="332"/>
        <v>Tarifs conventionnels assurance maladie</v>
      </c>
      <c r="U2027" t="str">
        <f>"840019210"</f>
        <v>840019210</v>
      </c>
    </row>
    <row r="2028" spans="1:21" x14ac:dyDescent="0.3">
      <c r="A2028" t="str">
        <f>"100009828"</f>
        <v>100009828</v>
      </c>
      <c r="B2028" t="str">
        <f>"534 998 844 00052"</f>
        <v>534 998 844 00052</v>
      </c>
      <c r="D2028" t="str">
        <f>"CTRE SANTE DENT DU JARDIN DES PLANTES"</f>
        <v>CTRE SANTE DENT DU JARDIN DES PLANTES</v>
      </c>
      <c r="F2028" t="str">
        <f>"74 RUE LAMARTINE"</f>
        <v>74 RUE LAMARTINE</v>
      </c>
      <c r="H2028" t="str">
        <f>"10420"</f>
        <v>10420</v>
      </c>
      <c r="I2028" t="str">
        <f>"LES NOES PRES TROYES"</f>
        <v>LES NOES PRES TROYES</v>
      </c>
      <c r="J2028" t="str">
        <f>"03 25 45 89 60 "</f>
        <v xml:space="preserve">03 25 45 89 60 </v>
      </c>
      <c r="L2028" s="1">
        <v>41091</v>
      </c>
      <c r="M2028" t="str">
        <f t="shared" si="329"/>
        <v>124</v>
      </c>
      <c r="N2028" t="str">
        <f t="shared" si="330"/>
        <v>Centre de Santé</v>
      </c>
      <c r="O2028" t="str">
        <f>"61"</f>
        <v>61</v>
      </c>
      <c r="P2028" t="str">
        <f>"Association Loi 1901 Reconnue d'Utilité Publique"</f>
        <v>Association Loi 1901 Reconnue d'Utilité Publique</v>
      </c>
      <c r="Q2028" t="str">
        <f t="shared" si="331"/>
        <v>36</v>
      </c>
      <c r="R2028" t="str">
        <f t="shared" si="332"/>
        <v>Tarifs conventionnels assurance maladie</v>
      </c>
      <c r="U2028" t="str">
        <f>"100009810"</f>
        <v>100009810</v>
      </c>
    </row>
    <row r="2029" spans="1:21" x14ac:dyDescent="0.3">
      <c r="A2029" t="str">
        <f>"750051211"</f>
        <v>750051211</v>
      </c>
      <c r="B2029" t="str">
        <f>"750 948 093 00018"</f>
        <v>750 948 093 00018</v>
      </c>
      <c r="D2029" t="str">
        <f>"CDS MEDICAL DENTAIRE DU CHATEAU CMDC51"</f>
        <v>CDS MEDICAL DENTAIRE DU CHATEAU CMDC51</v>
      </c>
      <c r="F2029" t="str">
        <f>"51 BOULEVARD DE STRASBOURG"</f>
        <v>51 BOULEVARD DE STRASBOURG</v>
      </c>
      <c r="H2029" t="str">
        <f>"75010"</f>
        <v>75010</v>
      </c>
      <c r="I2029" t="str">
        <f>"PARIS"</f>
        <v>PARIS</v>
      </c>
      <c r="J2029" t="str">
        <f>"01 48 00 01 01 "</f>
        <v xml:space="preserve">01 48 00 01 01 </v>
      </c>
      <c r="L2029" s="1">
        <v>41091</v>
      </c>
      <c r="M2029" t="str">
        <f t="shared" si="329"/>
        <v>124</v>
      </c>
      <c r="N2029" t="str">
        <f t="shared" si="330"/>
        <v>Centre de Santé</v>
      </c>
      <c r="O2029" t="str">
        <f>"60"</f>
        <v>60</v>
      </c>
      <c r="P2029" t="str">
        <f>"Association Loi 1901 non Reconnue d'Utilité Publique"</f>
        <v>Association Loi 1901 non Reconnue d'Utilité Publique</v>
      </c>
      <c r="Q2029" t="str">
        <f t="shared" si="331"/>
        <v>36</v>
      </c>
      <c r="R2029" t="str">
        <f t="shared" si="332"/>
        <v>Tarifs conventionnels assurance maladie</v>
      </c>
      <c r="U2029" t="str">
        <f>"750051203"</f>
        <v>750051203</v>
      </c>
    </row>
    <row r="2030" spans="1:21" x14ac:dyDescent="0.3">
      <c r="A2030" t="str">
        <f>"750051898"</f>
        <v>750051898</v>
      </c>
      <c r="B2030" t="str">
        <f>"753 088 541 00010"</f>
        <v>753 088 541 00010</v>
      </c>
      <c r="D2030" t="str">
        <f>"CDS DENTAIRE MARCADET"</f>
        <v>CDS DENTAIRE MARCADET</v>
      </c>
      <c r="F2030" t="str">
        <f>"243 RUE MARCADET"</f>
        <v>243 RUE MARCADET</v>
      </c>
      <c r="H2030" t="str">
        <f>"75018"</f>
        <v>75018</v>
      </c>
      <c r="I2030" t="str">
        <f>"PARIS"</f>
        <v>PARIS</v>
      </c>
      <c r="J2030" t="str">
        <f>"01 84 16 25 15 "</f>
        <v xml:space="preserve">01 84 16 25 15 </v>
      </c>
      <c r="K2030" t="str">
        <f>"01 84 16 25 16"</f>
        <v>01 84 16 25 16</v>
      </c>
      <c r="L2030" s="1">
        <v>41089</v>
      </c>
      <c r="M2030" t="str">
        <f t="shared" si="329"/>
        <v>124</v>
      </c>
      <c r="N2030" t="str">
        <f t="shared" si="330"/>
        <v>Centre de Santé</v>
      </c>
      <c r="O2030" t="str">
        <f>"60"</f>
        <v>60</v>
      </c>
      <c r="P2030" t="str">
        <f>"Association Loi 1901 non Reconnue d'Utilité Publique"</f>
        <v>Association Loi 1901 non Reconnue d'Utilité Publique</v>
      </c>
      <c r="Q2030" t="str">
        <f t="shared" si="331"/>
        <v>36</v>
      </c>
      <c r="R2030" t="str">
        <f t="shared" si="332"/>
        <v>Tarifs conventionnels assurance maladie</v>
      </c>
      <c r="U2030" t="str">
        <f>"750051880"</f>
        <v>750051880</v>
      </c>
    </row>
    <row r="2031" spans="1:21" x14ac:dyDescent="0.3">
      <c r="A2031" t="str">
        <f>"140027848"</f>
        <v>140027848</v>
      </c>
      <c r="B2031" t="str">
        <f>"794 994 277 00075"</f>
        <v>794 994 277 00075</v>
      </c>
      <c r="D2031" t="str">
        <f>"CENTRE DE SANTE DENTAIRE - FALAISE"</f>
        <v>CENTRE DE SANTE DENTAIRE - FALAISE</v>
      </c>
      <c r="F2031" t="str">
        <f>"20 RUE AMIRAL COURBET"</f>
        <v>20 RUE AMIRAL COURBET</v>
      </c>
      <c r="H2031" t="str">
        <f>"14700"</f>
        <v>14700</v>
      </c>
      <c r="I2031" t="str">
        <f>"FALAISE"</f>
        <v>FALAISE</v>
      </c>
      <c r="L2031" s="1">
        <v>41061</v>
      </c>
      <c r="M2031" t="str">
        <f t="shared" si="329"/>
        <v>124</v>
      </c>
      <c r="N2031" t="str">
        <f t="shared" si="330"/>
        <v>Centre de Santé</v>
      </c>
      <c r="O2031" t="str">
        <f>"47"</f>
        <v>47</v>
      </c>
      <c r="P2031" t="str">
        <f>"Société Mutualiste"</f>
        <v>Société Mutualiste</v>
      </c>
      <c r="Q2031" t="str">
        <f t="shared" si="331"/>
        <v>36</v>
      </c>
      <c r="R2031" t="str">
        <f t="shared" si="332"/>
        <v>Tarifs conventionnels assurance maladie</v>
      </c>
      <c r="U2031" t="str">
        <f>"760000539"</f>
        <v>760000539</v>
      </c>
    </row>
    <row r="2032" spans="1:21" x14ac:dyDescent="0.3">
      <c r="A2032" t="str">
        <f>"170023428"</f>
        <v>170023428</v>
      </c>
      <c r="B2032" t="str">
        <f>"261 700 371 00063"</f>
        <v>261 700 371 00063</v>
      </c>
      <c r="D2032" t="str">
        <f>"CENTRE DE SANTE (CH OLERON)"</f>
        <v>CENTRE DE SANTE (CH OLERON)</v>
      </c>
      <c r="F2032" t="str">
        <f>"RUE CARINENA"</f>
        <v>RUE CARINENA</v>
      </c>
      <c r="G2032" t="str">
        <f>"BP 20"</f>
        <v>BP 20</v>
      </c>
      <c r="H2032" t="str">
        <f>"17310"</f>
        <v>17310</v>
      </c>
      <c r="I2032" t="str">
        <f>"ST PIERRE D OLERON"</f>
        <v>ST PIERRE D OLERON</v>
      </c>
      <c r="J2032" t="str">
        <f>"05 46 76 31 00 "</f>
        <v xml:space="preserve">05 46 76 31 00 </v>
      </c>
      <c r="K2032" t="str">
        <f>"05 46 76 31 12"</f>
        <v>05 46 76 31 12</v>
      </c>
      <c r="L2032" s="1">
        <v>41061</v>
      </c>
      <c r="M2032" t="str">
        <f t="shared" si="329"/>
        <v>124</v>
      </c>
      <c r="N2032" t="str">
        <f t="shared" si="330"/>
        <v>Centre de Santé</v>
      </c>
      <c r="O2032" t="str">
        <f>"13"</f>
        <v>13</v>
      </c>
      <c r="P2032" t="str">
        <f>"Etablissement Public Communal d'Hospitalisation"</f>
        <v>Etablissement Public Communal d'Hospitalisation</v>
      </c>
      <c r="Q2032" t="str">
        <f t="shared" si="331"/>
        <v>36</v>
      </c>
      <c r="R2032" t="str">
        <f t="shared" si="332"/>
        <v>Tarifs conventionnels assurance maladie</v>
      </c>
      <c r="U2032" t="str">
        <f>"170780142"</f>
        <v>170780142</v>
      </c>
    </row>
    <row r="2033" spans="1:21" x14ac:dyDescent="0.3">
      <c r="A2033" t="str">
        <f>"350048757"</f>
        <v>350048757</v>
      </c>
      <c r="B2033" t="str">
        <f>"402 810 295 00053"</f>
        <v>402 810 295 00053</v>
      </c>
      <c r="D2033" t="str">
        <f>"CDS RESEAU VILLE HOPITAL 35"</f>
        <v>CDS RESEAU VILLE HOPITAL 35</v>
      </c>
      <c r="E2033" t="str">
        <f>"'LE SAMARA'"</f>
        <v>'LE SAMARA'</v>
      </c>
      <c r="F2033" t="str">
        <f>"12 AVENUE DE POLOGNE"</f>
        <v>12 AVENUE DE POLOGNE</v>
      </c>
      <c r="H2033" t="str">
        <f>"35200"</f>
        <v>35200</v>
      </c>
      <c r="I2033" t="str">
        <f>"RENNES"</f>
        <v>RENNES</v>
      </c>
      <c r="J2033" t="str">
        <f>"02 99 32 47 36 "</f>
        <v xml:space="preserve">02 99 32 47 36 </v>
      </c>
      <c r="K2033" t="str">
        <f>"02 99 50 51 20"</f>
        <v>02 99 50 51 20</v>
      </c>
      <c r="L2033" s="1">
        <v>41061</v>
      </c>
      <c r="M2033" t="str">
        <f t="shared" si="329"/>
        <v>124</v>
      </c>
      <c r="N2033" t="str">
        <f t="shared" si="330"/>
        <v>Centre de Santé</v>
      </c>
      <c r="O2033" t="str">
        <f>"60"</f>
        <v>60</v>
      </c>
      <c r="P2033" t="str">
        <f>"Association Loi 1901 non Reconnue d'Utilité Publique"</f>
        <v>Association Loi 1901 non Reconnue d'Utilité Publique</v>
      </c>
      <c r="Q2033" t="str">
        <f t="shared" si="331"/>
        <v>36</v>
      </c>
      <c r="R2033" t="str">
        <f t="shared" si="332"/>
        <v>Tarifs conventionnels assurance maladie</v>
      </c>
      <c r="U2033" t="str">
        <f>"350045969"</f>
        <v>350045969</v>
      </c>
    </row>
    <row r="2034" spans="1:21" x14ac:dyDescent="0.3">
      <c r="A2034" t="str">
        <f>"520004144"</f>
        <v>520004144</v>
      </c>
      <c r="B2034" t="str">
        <f>"200 044 253 00025"</f>
        <v>200 044 253 00025</v>
      </c>
      <c r="D2034" t="str">
        <f>"CENTRE DE SANTÉ DOULEVANT LE CHATEAU"</f>
        <v>CENTRE DE SANTÉ DOULEVANT LE CHATEAU</v>
      </c>
      <c r="F2034" t="str">
        <f>"15 RUE DE LA GARE"</f>
        <v>15 RUE DE LA GARE</v>
      </c>
      <c r="H2034" t="str">
        <f>"52110"</f>
        <v>52110</v>
      </c>
      <c r="I2034" t="str">
        <f>"DOULEVANT LE CHATEAU"</f>
        <v>DOULEVANT LE CHATEAU</v>
      </c>
      <c r="J2034" t="str">
        <f>"03 25 55 63 60 "</f>
        <v xml:space="preserve">03 25 55 63 60 </v>
      </c>
      <c r="L2034" s="1">
        <v>41030</v>
      </c>
      <c r="M2034" t="str">
        <f t="shared" si="329"/>
        <v>124</v>
      </c>
      <c r="N2034" t="str">
        <f t="shared" si="330"/>
        <v>Centre de Santé</v>
      </c>
      <c r="O2034" t="str">
        <f>"03"</f>
        <v>03</v>
      </c>
      <c r="P2034" t="str">
        <f>"Commune"</f>
        <v>Commune</v>
      </c>
      <c r="Q2034" t="str">
        <f t="shared" si="331"/>
        <v>36</v>
      </c>
      <c r="R2034" t="str">
        <f t="shared" si="332"/>
        <v>Tarifs conventionnels assurance maladie</v>
      </c>
      <c r="U2034" t="str">
        <f>"520004375"</f>
        <v>520004375</v>
      </c>
    </row>
    <row r="2035" spans="1:21" x14ac:dyDescent="0.3">
      <c r="A2035" t="str">
        <f>"520004151"</f>
        <v>520004151</v>
      </c>
      <c r="B2035" t="str">
        <f>"780 349 833 00639"</f>
        <v>780 349 833 00639</v>
      </c>
      <c r="D2035" t="str">
        <f>"CENTRE DE SANTÉ DENTAIRE MUTUALISTE"</f>
        <v>CENTRE DE SANTÉ DENTAIRE MUTUALISTE</v>
      </c>
      <c r="F2035" t="str">
        <f>"9 BOULEVARD DE TASSIGNY"</f>
        <v>9 BOULEVARD DE TASSIGNY</v>
      </c>
      <c r="H2035" t="str">
        <f>"52000"</f>
        <v>52000</v>
      </c>
      <c r="I2035" t="str">
        <f>"CHAUMONT"</f>
        <v>CHAUMONT</v>
      </c>
      <c r="J2035" t="str">
        <f>"03 25 01 25 25 "</f>
        <v xml:space="preserve">03 25 01 25 25 </v>
      </c>
      <c r="L2035" s="1">
        <v>41022</v>
      </c>
      <c r="M2035" t="str">
        <f t="shared" si="329"/>
        <v>124</v>
      </c>
      <c r="N2035" t="str">
        <f t="shared" si="330"/>
        <v>Centre de Santé</v>
      </c>
      <c r="O2035" t="str">
        <f>"47"</f>
        <v>47</v>
      </c>
      <c r="P2035" t="str">
        <f>"Société Mutualiste"</f>
        <v>Société Mutualiste</v>
      </c>
      <c r="Q2035" t="str">
        <f t="shared" si="331"/>
        <v>36</v>
      </c>
      <c r="R2035" t="str">
        <f t="shared" si="332"/>
        <v>Tarifs conventionnels assurance maladie</v>
      </c>
      <c r="U2035" t="str">
        <f>"510024581"</f>
        <v>510024581</v>
      </c>
    </row>
    <row r="2036" spans="1:21" x14ac:dyDescent="0.3">
      <c r="A2036" t="str">
        <f>"920027877"</f>
        <v>920027877</v>
      </c>
      <c r="B2036" t="str">
        <f>"750 158 347 00013"</f>
        <v>750 158 347 00013</v>
      </c>
      <c r="D2036" t="str">
        <f>"CDS ROND POINT DE L EUROPE"</f>
        <v>CDS ROND POINT DE L EUROPE</v>
      </c>
      <c r="F2036" t="str">
        <f>"2 BOULEVARD DE LA REPUBLIQUE"</f>
        <v>2 BOULEVARD DE LA REPUBLIQUE</v>
      </c>
      <c r="H2036" t="str">
        <f>"92250"</f>
        <v>92250</v>
      </c>
      <c r="I2036" t="str">
        <f>"LA GARENNE COLOMBES"</f>
        <v>LA GARENNE COLOMBES</v>
      </c>
      <c r="J2036" t="str">
        <f>"01 42 42 02 02 "</f>
        <v xml:space="preserve">01 42 42 02 02 </v>
      </c>
      <c r="L2036" s="1">
        <v>41019</v>
      </c>
      <c r="M2036" t="str">
        <f t="shared" si="329"/>
        <v>124</v>
      </c>
      <c r="N2036" t="str">
        <f t="shared" si="330"/>
        <v>Centre de Santé</v>
      </c>
      <c r="O2036" t="str">
        <f>"60"</f>
        <v>60</v>
      </c>
      <c r="P2036" t="str">
        <f>"Association Loi 1901 non Reconnue d'Utilité Publique"</f>
        <v>Association Loi 1901 non Reconnue d'Utilité Publique</v>
      </c>
      <c r="Q2036" t="str">
        <f t="shared" si="331"/>
        <v>36</v>
      </c>
      <c r="R2036" t="str">
        <f t="shared" si="332"/>
        <v>Tarifs conventionnels assurance maladie</v>
      </c>
      <c r="U2036" t="str">
        <f>"750051492"</f>
        <v>750051492</v>
      </c>
    </row>
    <row r="2037" spans="1:21" x14ac:dyDescent="0.3">
      <c r="A2037" t="str">
        <f>"930024336"</f>
        <v>930024336</v>
      </c>
      <c r="B2037" t="str">
        <f>"510 167 588 00043"</f>
        <v>510 167 588 00043</v>
      </c>
      <c r="D2037" t="str">
        <f>"CDS DENTAIRE PABLO PICASSO"</f>
        <v>CDS DENTAIRE PABLO PICASSO</v>
      </c>
      <c r="F2037" t="str">
        <f>"12 RUE PABLO PICASSO"</f>
        <v>12 RUE PABLO PICASSO</v>
      </c>
      <c r="H2037" t="str">
        <f>"93000"</f>
        <v>93000</v>
      </c>
      <c r="I2037" t="str">
        <f>"BOBIGNY"</f>
        <v>BOBIGNY</v>
      </c>
      <c r="J2037" t="str">
        <f>"01 48 31 89 00 "</f>
        <v xml:space="preserve">01 48 31 89 00 </v>
      </c>
      <c r="L2037" s="1">
        <v>41019</v>
      </c>
      <c r="M2037" t="str">
        <f t="shared" si="329"/>
        <v>124</v>
      </c>
      <c r="N2037" t="str">
        <f t="shared" si="330"/>
        <v>Centre de Santé</v>
      </c>
      <c r="O2037" t="str">
        <f>"60"</f>
        <v>60</v>
      </c>
      <c r="P2037" t="str">
        <f>"Association Loi 1901 non Reconnue d'Utilité Publique"</f>
        <v>Association Loi 1901 non Reconnue d'Utilité Publique</v>
      </c>
      <c r="Q2037" t="str">
        <f t="shared" si="331"/>
        <v>36</v>
      </c>
      <c r="R2037" t="str">
        <f t="shared" si="332"/>
        <v>Tarifs conventionnels assurance maladie</v>
      </c>
      <c r="U2037" t="str">
        <f>"750044950"</f>
        <v>750044950</v>
      </c>
    </row>
    <row r="2038" spans="1:21" x14ac:dyDescent="0.3">
      <c r="A2038" t="str">
        <f>"940020951"</f>
        <v>940020951</v>
      </c>
      <c r="B2038" t="str">
        <f>"537 465 700 00020"</f>
        <v>537 465 700 00020</v>
      </c>
      <c r="D2038" t="str">
        <f>"CDS DENTAIRE MARAT"</f>
        <v>CDS DENTAIRE MARAT</v>
      </c>
      <c r="F2038" t="str">
        <f>"90 RUE MARAT"</f>
        <v>90 RUE MARAT</v>
      </c>
      <c r="H2038" t="str">
        <f>"94200"</f>
        <v>94200</v>
      </c>
      <c r="I2038" t="str">
        <f>"IVRY SUR SEINE"</f>
        <v>IVRY SUR SEINE</v>
      </c>
      <c r="J2038" t="str">
        <f>"01 46 70 26 26 "</f>
        <v xml:space="preserve">01 46 70 26 26 </v>
      </c>
      <c r="L2038" s="1">
        <v>41002</v>
      </c>
      <c r="M2038" t="str">
        <f t="shared" si="329"/>
        <v>124</v>
      </c>
      <c r="N2038" t="str">
        <f t="shared" si="330"/>
        <v>Centre de Santé</v>
      </c>
      <c r="O2038" t="str">
        <f>"60"</f>
        <v>60</v>
      </c>
      <c r="P2038" t="str">
        <f>"Association Loi 1901 non Reconnue d'Utilité Publique"</f>
        <v>Association Loi 1901 non Reconnue d'Utilité Publique</v>
      </c>
      <c r="Q2038" t="str">
        <f t="shared" si="331"/>
        <v>36</v>
      </c>
      <c r="R2038" t="str">
        <f t="shared" si="332"/>
        <v>Tarifs conventionnels assurance maladie</v>
      </c>
      <c r="U2038" t="str">
        <f>"940020944"</f>
        <v>940020944</v>
      </c>
    </row>
    <row r="2039" spans="1:21" x14ac:dyDescent="0.3">
      <c r="A2039" t="str">
        <f>"490018462"</f>
        <v>490018462</v>
      </c>
      <c r="B2039" t="str">
        <f>"194 909 701 00212"</f>
        <v>194 909 701 00212</v>
      </c>
      <c r="D2039" t="str">
        <f>"SERVICE DE SANTE UNIVERSITAIRE"</f>
        <v>SERVICE DE SANTE UNIVERSITAIRE</v>
      </c>
      <c r="E2039" t="str">
        <f>"LA PASSERELLE"</f>
        <v>LA PASSERELLE</v>
      </c>
      <c r="F2039" t="str">
        <f>"2 RUE JOSEPH LAKANAL"</f>
        <v>2 RUE JOSEPH LAKANAL</v>
      </c>
      <c r="H2039" t="str">
        <f>"49045"</f>
        <v>49045</v>
      </c>
      <c r="I2039" t="str">
        <f>"ANGERS CEDEX 01"</f>
        <v>ANGERS CEDEX 01</v>
      </c>
      <c r="J2039" t="str">
        <f>"02 41 22 69 10 "</f>
        <v xml:space="preserve">02 41 22 69 10 </v>
      </c>
      <c r="K2039" t="str">
        <f>"02 41 22 69 14"</f>
        <v>02 41 22 69 14</v>
      </c>
      <c r="L2039" s="1">
        <v>40994</v>
      </c>
      <c r="M2039" t="str">
        <f t="shared" si="329"/>
        <v>124</v>
      </c>
      <c r="N2039" t="str">
        <f t="shared" si="330"/>
        <v>Centre de Santé</v>
      </c>
      <c r="O2039" t="str">
        <f>"26"</f>
        <v>26</v>
      </c>
      <c r="P2039" t="str">
        <f>"Autre Etablissement Public à Caractère Administratif"</f>
        <v>Autre Etablissement Public à Caractère Administratif</v>
      </c>
      <c r="Q2039" t="str">
        <f t="shared" si="331"/>
        <v>36</v>
      </c>
      <c r="R2039" t="str">
        <f t="shared" si="332"/>
        <v>Tarifs conventionnels assurance maladie</v>
      </c>
      <c r="U2039" t="str">
        <f>"490018454"</f>
        <v>490018454</v>
      </c>
    </row>
    <row r="2040" spans="1:21" x14ac:dyDescent="0.3">
      <c r="A2040" t="str">
        <f>"710013665"</f>
        <v>710013665</v>
      </c>
      <c r="D2040" t="str">
        <f>"CENTRE DE SANTÉ DENTAIRE MUTUALISTE"</f>
        <v>CENTRE DE SANTÉ DENTAIRE MUTUALISTE</v>
      </c>
      <c r="F2040" t="str">
        <f>"350 AVENUE FERNAND POINT"</f>
        <v>350 AVENUE FERNAND POINT</v>
      </c>
      <c r="H2040" t="str">
        <f>"71502"</f>
        <v>71502</v>
      </c>
      <c r="I2040" t="str">
        <f>"LOUHANS CEDEX"</f>
        <v>LOUHANS CEDEX</v>
      </c>
      <c r="J2040" t="str">
        <f>"03 85 75 85 97 "</f>
        <v xml:space="preserve">03 85 75 85 97 </v>
      </c>
      <c r="L2040" s="1">
        <v>40994</v>
      </c>
      <c r="M2040" t="str">
        <f t="shared" si="329"/>
        <v>124</v>
      </c>
      <c r="N2040" t="str">
        <f t="shared" si="330"/>
        <v>Centre de Santé</v>
      </c>
      <c r="O2040" t="str">
        <f>"47"</f>
        <v>47</v>
      </c>
      <c r="P2040" t="str">
        <f>"Société Mutualiste"</f>
        <v>Société Mutualiste</v>
      </c>
      <c r="Q2040" t="str">
        <f t="shared" si="331"/>
        <v>36</v>
      </c>
      <c r="R2040" t="str">
        <f t="shared" si="332"/>
        <v>Tarifs conventionnels assurance maladie</v>
      </c>
      <c r="U2040" t="str">
        <f>"710784109"</f>
        <v>710784109</v>
      </c>
    </row>
    <row r="2041" spans="1:21" x14ac:dyDescent="0.3">
      <c r="A2041" t="str">
        <f>"920027810"</f>
        <v>920027810</v>
      </c>
      <c r="B2041" t="str">
        <f>"199 216 193 00011"</f>
        <v>199 216 193 00011</v>
      </c>
      <c r="D2041" t="str">
        <f>"CDS CREPS IDF"</f>
        <v>CDS CREPS IDF</v>
      </c>
      <c r="F2041" t="str">
        <f>"1 RUE DU DOCTEUR LE SAVOUREUX"</f>
        <v>1 RUE DU DOCTEUR LE SAVOUREUX</v>
      </c>
      <c r="H2041" t="str">
        <f>"92291"</f>
        <v>92291</v>
      </c>
      <c r="I2041" t="str">
        <f>"CHATENAY MALABRY CEDEX"</f>
        <v>CHATENAY MALABRY CEDEX</v>
      </c>
      <c r="J2041" t="str">
        <f>"01 41 87 20 30 "</f>
        <v xml:space="preserve">01 41 87 20 30 </v>
      </c>
      <c r="K2041" t="str">
        <f>"01 41 13 93 07"</f>
        <v>01 41 13 93 07</v>
      </c>
      <c r="L2041" s="1">
        <v>40987</v>
      </c>
      <c r="M2041" t="str">
        <f t="shared" si="329"/>
        <v>124</v>
      </c>
      <c r="N2041" t="str">
        <f t="shared" si="330"/>
        <v>Centre de Santé</v>
      </c>
      <c r="O2041" t="str">
        <f>"26"</f>
        <v>26</v>
      </c>
      <c r="P2041" t="str">
        <f>"Autre Etablissement Public à Caractère Administratif"</f>
        <v>Autre Etablissement Public à Caractère Administratif</v>
      </c>
      <c r="Q2041" t="str">
        <f t="shared" si="331"/>
        <v>36</v>
      </c>
      <c r="R2041" t="str">
        <f t="shared" si="332"/>
        <v>Tarifs conventionnels assurance maladie</v>
      </c>
      <c r="U2041" t="str">
        <f>"920027802"</f>
        <v>920027802</v>
      </c>
    </row>
    <row r="2042" spans="1:21" x14ac:dyDescent="0.3">
      <c r="A2042" t="str">
        <f>"920027760"</f>
        <v>920027760</v>
      </c>
      <c r="B2042" t="str">
        <f>"750 826 463 00010"</f>
        <v>750 826 463 00010</v>
      </c>
      <c r="D2042" t="str">
        <f>"CDS DENTAIRE AADT"</f>
        <v>CDS DENTAIRE AADT</v>
      </c>
      <c r="E2042" t="str">
        <f>"95-97"</f>
        <v>95-97</v>
      </c>
      <c r="F2042" t="str">
        <f>"95 AVENUE VERDIER"</f>
        <v>95 AVENUE VERDIER</v>
      </c>
      <c r="H2042" t="str">
        <f>"92120"</f>
        <v>92120</v>
      </c>
      <c r="I2042" t="str">
        <f>"MONTROUGE"</f>
        <v>MONTROUGE</v>
      </c>
      <c r="J2042" t="str">
        <f>"01 49 65 66 20 "</f>
        <v xml:space="preserve">01 49 65 66 20 </v>
      </c>
      <c r="K2042" t="str">
        <f>"01 49 65 66 29"</f>
        <v>01 49 65 66 29</v>
      </c>
      <c r="L2042" s="1">
        <v>40976</v>
      </c>
      <c r="M2042" t="str">
        <f t="shared" si="329"/>
        <v>124</v>
      </c>
      <c r="N2042" t="str">
        <f t="shared" si="330"/>
        <v>Centre de Santé</v>
      </c>
      <c r="O2042" t="str">
        <f>"60"</f>
        <v>60</v>
      </c>
      <c r="P2042" t="str">
        <f>"Association Loi 1901 non Reconnue d'Utilité Publique"</f>
        <v>Association Loi 1901 non Reconnue d'Utilité Publique</v>
      </c>
      <c r="Q2042" t="str">
        <f t="shared" si="331"/>
        <v>36</v>
      </c>
      <c r="R2042" t="str">
        <f t="shared" si="332"/>
        <v>Tarifs conventionnels assurance maladie</v>
      </c>
      <c r="U2042" t="str">
        <f>"920027752"</f>
        <v>920027752</v>
      </c>
    </row>
    <row r="2043" spans="1:21" x14ac:dyDescent="0.3">
      <c r="A2043" t="str">
        <f>"420785115"</f>
        <v>420785115</v>
      </c>
      <c r="B2043" t="str">
        <f>"775 602 436 00617"</f>
        <v>775 602 436 00617</v>
      </c>
      <c r="D2043" t="str">
        <f>"CENTRE DE SANTE MFL SSAM SAINT-CHAMOND"</f>
        <v>CENTRE DE SANTE MFL SSAM SAINT-CHAMOND</v>
      </c>
      <c r="F2043" t="str">
        <f>"2 SQUARE CROIX GAUTHIER"</f>
        <v>2 SQUARE CROIX GAUTHIER</v>
      </c>
      <c r="H2043" t="str">
        <f>"42400"</f>
        <v>42400</v>
      </c>
      <c r="I2043" t="str">
        <f>"ST CHAMOND"</f>
        <v>ST CHAMOND</v>
      </c>
      <c r="J2043" t="str">
        <f>"04 77 47 63 25 "</f>
        <v xml:space="preserve">04 77 47 63 25 </v>
      </c>
      <c r="K2043" t="str">
        <f>"04 77 48 10 09"</f>
        <v>04 77 48 10 09</v>
      </c>
      <c r="L2043" s="1">
        <v>40969</v>
      </c>
      <c r="M2043" t="str">
        <f t="shared" si="329"/>
        <v>124</v>
      </c>
      <c r="N2043" t="str">
        <f t="shared" si="330"/>
        <v>Centre de Santé</v>
      </c>
      <c r="O2043" t="str">
        <f>"47"</f>
        <v>47</v>
      </c>
      <c r="P2043" t="str">
        <f>"Société Mutualiste"</f>
        <v>Société Mutualiste</v>
      </c>
      <c r="Q2043" t="str">
        <f t="shared" si="331"/>
        <v>36</v>
      </c>
      <c r="R2043" t="str">
        <f t="shared" si="332"/>
        <v>Tarifs conventionnels assurance maladie</v>
      </c>
      <c r="U2043" t="str">
        <f>"420787061"</f>
        <v>420787061</v>
      </c>
    </row>
    <row r="2044" spans="1:21" x14ac:dyDescent="0.3">
      <c r="A2044" t="str">
        <f>"660007204"</f>
        <v>660007204</v>
      </c>
      <c r="B2044" t="str">
        <f>"435 353 685 00066"</f>
        <v>435 353 685 00066</v>
      </c>
      <c r="D2044" t="str">
        <f>"CDS MEDICAL MUTUALISTE PERPIGNAN"</f>
        <v>CDS MEDICAL MUTUALISTE PERPIGNAN</v>
      </c>
      <c r="F2044" t="str">
        <f>"60 RUE LOUIS MOUILLARD"</f>
        <v>60 RUE LOUIS MOUILLARD</v>
      </c>
      <c r="H2044" t="str">
        <f>"66028"</f>
        <v>66028</v>
      </c>
      <c r="I2044" t="str">
        <f>"PERPIGNAN CEDEX"</f>
        <v>PERPIGNAN CEDEX</v>
      </c>
      <c r="J2044" t="str">
        <f>"04 67 63 72 76 "</f>
        <v xml:space="preserve">04 67 63 72 76 </v>
      </c>
      <c r="K2044" t="str">
        <f>"04 68 52 32 77"</f>
        <v>04 68 52 32 77</v>
      </c>
      <c r="L2044" s="1">
        <v>40959</v>
      </c>
      <c r="M2044" t="str">
        <f t="shared" si="329"/>
        <v>124</v>
      </c>
      <c r="N2044" t="str">
        <f t="shared" si="330"/>
        <v>Centre de Santé</v>
      </c>
      <c r="O2044" t="str">
        <f>"47"</f>
        <v>47</v>
      </c>
      <c r="P2044" t="str">
        <f>"Société Mutualiste"</f>
        <v>Société Mutualiste</v>
      </c>
      <c r="Q2044" t="str">
        <f t="shared" si="331"/>
        <v>36</v>
      </c>
      <c r="R2044" t="str">
        <f t="shared" si="332"/>
        <v>Tarifs conventionnels assurance maladie</v>
      </c>
      <c r="U2044" t="str">
        <f>"660006297"</f>
        <v>660006297</v>
      </c>
    </row>
    <row r="2045" spans="1:21" x14ac:dyDescent="0.3">
      <c r="A2045" t="str">
        <f>"850019688"</f>
        <v>850019688</v>
      </c>
      <c r="B2045" t="str">
        <f>"844 881 417 00993"</f>
        <v>844 881 417 00993</v>
      </c>
      <c r="D2045" t="str">
        <f>"CENTRE DENTAIRE MUTUALISTE"</f>
        <v>CENTRE DENTAIRE MUTUALISTE</v>
      </c>
      <c r="F2045" t="str">
        <f>"53 RUE DU CALVAIRE"</f>
        <v>53 RUE DU CALVAIRE</v>
      </c>
      <c r="H2045" t="str">
        <f>"85800"</f>
        <v>85800</v>
      </c>
      <c r="I2045" t="str">
        <f>"ST GILLES CROIX DE VIE"</f>
        <v>ST GILLES CROIX DE VIE</v>
      </c>
      <c r="J2045" t="str">
        <f>"02 51 26 53 31 "</f>
        <v xml:space="preserve">02 51 26 53 31 </v>
      </c>
      <c r="L2045" s="1">
        <v>40959</v>
      </c>
      <c r="M2045" t="str">
        <f t="shared" si="329"/>
        <v>124</v>
      </c>
      <c r="N2045" t="str">
        <f t="shared" si="330"/>
        <v>Centre de Santé</v>
      </c>
      <c r="O2045" t="str">
        <f>"47"</f>
        <v>47</v>
      </c>
      <c r="P2045" t="str">
        <f>"Société Mutualiste"</f>
        <v>Société Mutualiste</v>
      </c>
      <c r="Q2045" t="str">
        <f t="shared" si="331"/>
        <v>36</v>
      </c>
      <c r="R2045" t="str">
        <f t="shared" si="332"/>
        <v>Tarifs conventionnels assurance maladie</v>
      </c>
      <c r="U2045" t="str">
        <f>"850028085"</f>
        <v>850028085</v>
      </c>
    </row>
    <row r="2046" spans="1:21" x14ac:dyDescent="0.3">
      <c r="A2046" t="str">
        <f>"750050585"</f>
        <v>750050585</v>
      </c>
      <c r="B2046" t="str">
        <f>"751 604 406 00015"</f>
        <v>751 604 406 00015</v>
      </c>
      <c r="D2046" t="str">
        <f>"CDS MEDICO-DENTAIRE COLONEL FABIEN"</f>
        <v>CDS MEDICO-DENTAIRE COLONEL FABIEN</v>
      </c>
      <c r="F2046" t="str">
        <f>"6 RUE ALBERT CAMUS"</f>
        <v>6 RUE ALBERT CAMUS</v>
      </c>
      <c r="H2046" t="str">
        <f>"75010"</f>
        <v>75010</v>
      </c>
      <c r="I2046" t="str">
        <f>"PARIS"</f>
        <v>PARIS</v>
      </c>
      <c r="J2046" t="str">
        <f>"01 44 52 69 69 "</f>
        <v xml:space="preserve">01 44 52 69 69 </v>
      </c>
      <c r="K2046" t="str">
        <f>"01 44 52 02 26"</f>
        <v>01 44 52 02 26</v>
      </c>
      <c r="L2046" s="1">
        <v>40926</v>
      </c>
      <c r="M2046" t="str">
        <f t="shared" si="329"/>
        <v>124</v>
      </c>
      <c r="N2046" t="str">
        <f t="shared" si="330"/>
        <v>Centre de Santé</v>
      </c>
      <c r="O2046" t="str">
        <f>"60"</f>
        <v>60</v>
      </c>
      <c r="P2046" t="str">
        <f>"Association Loi 1901 non Reconnue d'Utilité Publique"</f>
        <v>Association Loi 1901 non Reconnue d'Utilité Publique</v>
      </c>
      <c r="Q2046" t="str">
        <f t="shared" si="331"/>
        <v>36</v>
      </c>
      <c r="R2046" t="str">
        <f t="shared" si="332"/>
        <v>Tarifs conventionnels assurance maladie</v>
      </c>
      <c r="U2046" t="str">
        <f>"750050577"</f>
        <v>750050577</v>
      </c>
    </row>
    <row r="2047" spans="1:21" x14ac:dyDescent="0.3">
      <c r="A2047" t="str">
        <f>"690791702"</f>
        <v>690791702</v>
      </c>
      <c r="B2047" t="str">
        <f>"539 028 506 00019"</f>
        <v>539 028 506 00019</v>
      </c>
      <c r="D2047" t="str">
        <f>"CENTRE DE SANTE BENOIT FRACHON"</f>
        <v>CENTRE DE SANTE BENOIT FRACHON</v>
      </c>
      <c r="F2047" t="str">
        <f>"31 AVENUE HAUTE ROCHE"</f>
        <v>31 AVENUE HAUTE ROCHE</v>
      </c>
      <c r="H2047" t="str">
        <f>"69310"</f>
        <v>69310</v>
      </c>
      <c r="I2047" t="str">
        <f>"PIERRE BENITE"</f>
        <v>PIERRE BENITE</v>
      </c>
      <c r="J2047" t="str">
        <f>"04 78 50 00 30 "</f>
        <v xml:space="preserve">04 78 50 00 30 </v>
      </c>
      <c r="L2047" s="1">
        <v>40878</v>
      </c>
      <c r="M2047" t="str">
        <f t="shared" si="329"/>
        <v>124</v>
      </c>
      <c r="N2047" t="str">
        <f t="shared" si="330"/>
        <v>Centre de Santé</v>
      </c>
      <c r="O2047" t="str">
        <f>"60"</f>
        <v>60</v>
      </c>
      <c r="P2047" t="str">
        <f>"Association Loi 1901 non Reconnue d'Utilité Publique"</f>
        <v>Association Loi 1901 non Reconnue d'Utilité Publique</v>
      </c>
      <c r="Q2047" t="str">
        <f t="shared" si="331"/>
        <v>36</v>
      </c>
      <c r="R2047" t="str">
        <f t="shared" si="332"/>
        <v>Tarifs conventionnels assurance maladie</v>
      </c>
      <c r="U2047" t="str">
        <f>"690037346"</f>
        <v>690037346</v>
      </c>
    </row>
    <row r="2048" spans="1:21" x14ac:dyDescent="0.3">
      <c r="A2048" t="str">
        <f>"2B0005177"</f>
        <v>2B0005177</v>
      </c>
      <c r="B2048" t="str">
        <f>"827 500 596 00107"</f>
        <v>827 500 596 00107</v>
      </c>
      <c r="D2048" t="str">
        <f>"CENTRE DE SANTE DENTAIRE MUTUALISTE"</f>
        <v>CENTRE DE SANTE DENTAIRE MUTUALISTE</v>
      </c>
      <c r="E2048" t="str">
        <f>"CENTRE MEDICAL - RN 198"</f>
        <v>CENTRE MEDICAL - RN 198</v>
      </c>
      <c r="F2048" t="str">
        <f>"ROUTE TERRITORIALE 10"</f>
        <v>ROUTE TERRITORIALE 10</v>
      </c>
      <c r="G2048" t="str">
        <f>"LIEU DIT PIROCHIACCE"</f>
        <v>LIEU DIT PIROCHIACCE</v>
      </c>
      <c r="H2048" t="str">
        <f>"20221"</f>
        <v>20221</v>
      </c>
      <c r="I2048" t="str">
        <f>"SANTA MARIA POGGIO"</f>
        <v>SANTA MARIA POGGIO</v>
      </c>
      <c r="J2048" t="str">
        <f>"04 95 57 08 73 "</f>
        <v xml:space="preserve">04 95 57 08 73 </v>
      </c>
      <c r="L2048" s="1">
        <v>40869</v>
      </c>
      <c r="M2048" t="str">
        <f t="shared" si="329"/>
        <v>124</v>
      </c>
      <c r="N2048" t="str">
        <f t="shared" si="330"/>
        <v>Centre de Santé</v>
      </c>
      <c r="O2048" t="str">
        <f>"47"</f>
        <v>47</v>
      </c>
      <c r="P2048" t="str">
        <f>"Société Mutualiste"</f>
        <v>Société Mutualiste</v>
      </c>
      <c r="Q2048" t="str">
        <f t="shared" si="331"/>
        <v>36</v>
      </c>
      <c r="R2048" t="str">
        <f t="shared" si="332"/>
        <v>Tarifs conventionnels assurance maladie</v>
      </c>
      <c r="U2048" t="str">
        <f>"2A0001848"</f>
        <v>2A0001848</v>
      </c>
    </row>
    <row r="2049" spans="1:21" x14ac:dyDescent="0.3">
      <c r="A2049" t="str">
        <f>"750047573"</f>
        <v>750047573</v>
      </c>
      <c r="B2049" t="str">
        <f>"524 291 473 00014"</f>
        <v>524 291 473 00014</v>
      </c>
      <c r="D2049" t="str">
        <f>"CDS DENTAIRE FLANDRE"</f>
        <v>CDS DENTAIRE FLANDRE</v>
      </c>
      <c r="F2049" t="str">
        <f>"83 RUE DE L OURCQ"</f>
        <v>83 RUE DE L OURCQ</v>
      </c>
      <c r="H2049" t="str">
        <f>"75019"</f>
        <v>75019</v>
      </c>
      <c r="I2049" t="str">
        <f>"PARIS"</f>
        <v>PARIS</v>
      </c>
      <c r="J2049" t="str">
        <f>"01 40 05 56 10 "</f>
        <v xml:space="preserve">01 40 05 56 10 </v>
      </c>
      <c r="K2049" t="str">
        <f>"01 44 65 90 73"</f>
        <v>01 44 65 90 73</v>
      </c>
      <c r="L2049" s="1">
        <v>40865</v>
      </c>
      <c r="M2049" t="str">
        <f t="shared" si="329"/>
        <v>124</v>
      </c>
      <c r="N2049" t="str">
        <f t="shared" si="330"/>
        <v>Centre de Santé</v>
      </c>
      <c r="O2049" t="str">
        <f>"62"</f>
        <v>62</v>
      </c>
      <c r="P2049" t="str">
        <f>"Association de Droit Local"</f>
        <v>Association de Droit Local</v>
      </c>
      <c r="Q2049" t="str">
        <f t="shared" si="331"/>
        <v>36</v>
      </c>
      <c r="R2049" t="str">
        <f t="shared" si="332"/>
        <v>Tarifs conventionnels assurance maladie</v>
      </c>
      <c r="U2049" t="str">
        <f>"750047565"</f>
        <v>750047565</v>
      </c>
    </row>
    <row r="2050" spans="1:21" x14ac:dyDescent="0.3">
      <c r="A2050" t="str">
        <f>"690033881"</f>
        <v>690033881</v>
      </c>
      <c r="B2050" t="str">
        <f>"825 372 063 00073"</f>
        <v>825 372 063 00073</v>
      </c>
      <c r="D2050" t="str">
        <f>"CENTRE DE SANTE DENTAIRE DE CHARPENNES"</f>
        <v>CENTRE DE SANTE DENTAIRE DE CHARPENNES</v>
      </c>
      <c r="F2050" t="str">
        <f>"4 PLACE CHARLES HERNU"</f>
        <v>4 PLACE CHARLES HERNU</v>
      </c>
      <c r="H2050" t="str">
        <f>"69100"</f>
        <v>69100</v>
      </c>
      <c r="I2050" t="str">
        <f>"VILLEURBANNE"</f>
        <v>VILLEURBANNE</v>
      </c>
      <c r="J2050" t="str">
        <f>"04 72 44 22 44 "</f>
        <v xml:space="preserve">04 72 44 22 44 </v>
      </c>
      <c r="L2050" s="1">
        <v>40850</v>
      </c>
      <c r="M2050" t="str">
        <f t="shared" ref="M2050:M2113" si="333">"124"</f>
        <v>124</v>
      </c>
      <c r="N2050" t="str">
        <f t="shared" ref="N2050:N2113" si="334">"Centre de Santé"</f>
        <v>Centre de Santé</v>
      </c>
      <c r="O2050" t="str">
        <f>"60"</f>
        <v>60</v>
      </c>
      <c r="P2050" t="str">
        <f>"Association Loi 1901 non Reconnue d'Utilité Publique"</f>
        <v>Association Loi 1901 non Reconnue d'Utilité Publique</v>
      </c>
      <c r="Q2050" t="str">
        <f t="shared" si="331"/>
        <v>36</v>
      </c>
      <c r="R2050" t="str">
        <f t="shared" si="332"/>
        <v>Tarifs conventionnels assurance maladie</v>
      </c>
      <c r="U2050" t="str">
        <f>"420016560"</f>
        <v>420016560</v>
      </c>
    </row>
    <row r="2051" spans="1:21" x14ac:dyDescent="0.3">
      <c r="A2051" t="str">
        <f>"490017746"</f>
        <v>490017746</v>
      </c>
      <c r="B2051" t="str">
        <f>"422 256 677 00044"</f>
        <v>422 256 677 00044</v>
      </c>
      <c r="D2051" t="str">
        <f>"CENTRE DE SOINS INFIRMIER"</f>
        <v>CENTRE DE SOINS INFIRMIER</v>
      </c>
      <c r="F2051" t="str">
        <f>"20 AVENUE JACQUES CHIRAC"</f>
        <v>20 AVENUE JACQUES CHIRAC</v>
      </c>
      <c r="H2051" t="str">
        <f>"49300"</f>
        <v>49300</v>
      </c>
      <c r="I2051" t="str">
        <f>"CHOLET"</f>
        <v>CHOLET</v>
      </c>
      <c r="J2051" t="str">
        <f>"02 41 29 21 83 "</f>
        <v xml:space="preserve">02 41 29 21 83 </v>
      </c>
      <c r="K2051" t="str">
        <f>"02 41 29 59 84"</f>
        <v>02 41 29 59 84</v>
      </c>
      <c r="L2051" s="1">
        <v>40841</v>
      </c>
      <c r="M2051" t="str">
        <f t="shared" si="333"/>
        <v>124</v>
      </c>
      <c r="N2051" t="str">
        <f t="shared" si="334"/>
        <v>Centre de Santé</v>
      </c>
      <c r="O2051" t="str">
        <f>"60"</f>
        <v>60</v>
      </c>
      <c r="P2051" t="str">
        <f>"Association Loi 1901 non Reconnue d'Utilité Publique"</f>
        <v>Association Loi 1901 non Reconnue d'Utilité Publique</v>
      </c>
      <c r="Q2051" t="str">
        <f t="shared" si="331"/>
        <v>36</v>
      </c>
      <c r="R2051" t="str">
        <f t="shared" si="332"/>
        <v>Tarifs conventionnels assurance maladie</v>
      </c>
      <c r="U2051" t="str">
        <f>"490012184"</f>
        <v>490012184</v>
      </c>
    </row>
    <row r="2052" spans="1:21" x14ac:dyDescent="0.3">
      <c r="A2052" t="str">
        <f>"930024062"</f>
        <v>930024062</v>
      </c>
      <c r="B2052" t="str">
        <f>"390 086 460 00024"</f>
        <v>390 086 460 00024</v>
      </c>
      <c r="D2052" t="str">
        <f>"CDS ACSBE LA PLACE SANTE"</f>
        <v>CDS ACSBE LA PLACE SANTE</v>
      </c>
      <c r="F2052" t="str">
        <f>"17 RUE DE LORRAINE"</f>
        <v>17 RUE DE LORRAINE</v>
      </c>
      <c r="H2052" t="str">
        <f>"93200"</f>
        <v>93200</v>
      </c>
      <c r="I2052" t="str">
        <f>"ST DENIS"</f>
        <v>ST DENIS</v>
      </c>
      <c r="J2052" t="str">
        <f>"01 48 09 09 17 "</f>
        <v xml:space="preserve">01 48 09 09 17 </v>
      </c>
      <c r="L2052" s="1">
        <v>40834</v>
      </c>
      <c r="M2052" t="str">
        <f t="shared" si="333"/>
        <v>124</v>
      </c>
      <c r="N2052" t="str">
        <f t="shared" si="334"/>
        <v>Centre de Santé</v>
      </c>
      <c r="O2052" t="str">
        <f>"60"</f>
        <v>60</v>
      </c>
      <c r="P2052" t="str">
        <f>"Association Loi 1901 non Reconnue d'Utilité Publique"</f>
        <v>Association Loi 1901 non Reconnue d'Utilité Publique</v>
      </c>
      <c r="Q2052" t="str">
        <f t="shared" si="331"/>
        <v>36</v>
      </c>
      <c r="R2052" t="str">
        <f t="shared" si="332"/>
        <v>Tarifs conventionnels assurance maladie</v>
      </c>
      <c r="U2052" t="str">
        <f>"930024054"</f>
        <v>930024054</v>
      </c>
    </row>
    <row r="2053" spans="1:21" x14ac:dyDescent="0.3">
      <c r="A2053" t="str">
        <f>"540022779"</f>
        <v>540022779</v>
      </c>
      <c r="B2053" t="str">
        <f>"775 615 313 00761"</f>
        <v>775 615 313 00761</v>
      </c>
      <c r="D2053" t="str">
        <f>"CENTRE DE SANTE POLYVALENT DE L'OHS"</f>
        <v>CENTRE DE SANTE POLYVALENT DE L'OHS</v>
      </c>
      <c r="F2053" t="str">
        <f>"46 RUE DU DOYEN JACQUES PARISOT"</f>
        <v>46 RUE DU DOYEN JACQUES PARISOT</v>
      </c>
      <c r="H2053" t="str">
        <f>"54630"</f>
        <v>54630</v>
      </c>
      <c r="I2053" t="str">
        <f>"FLAVIGNY SUR MOSELLE"</f>
        <v>FLAVIGNY SUR MOSELLE</v>
      </c>
      <c r="J2053" t="str">
        <f>"03 83 26 81 21 "</f>
        <v xml:space="preserve">03 83 26 81 21 </v>
      </c>
      <c r="K2053" t="str">
        <f>"03 83 26 81 20"</f>
        <v>03 83 26 81 20</v>
      </c>
      <c r="L2053" s="1">
        <v>40833</v>
      </c>
      <c r="M2053" t="str">
        <f t="shared" si="333"/>
        <v>124</v>
      </c>
      <c r="N2053" t="str">
        <f t="shared" si="334"/>
        <v>Centre de Santé</v>
      </c>
      <c r="O2053" t="str">
        <f>"61"</f>
        <v>61</v>
      </c>
      <c r="P2053" t="str">
        <f>"Association Loi 1901 Reconnue d'Utilité Publique"</f>
        <v>Association Loi 1901 Reconnue d'Utilité Publique</v>
      </c>
      <c r="Q2053" t="str">
        <f t="shared" si="331"/>
        <v>36</v>
      </c>
      <c r="R2053" t="str">
        <f t="shared" si="332"/>
        <v>Tarifs conventionnels assurance maladie</v>
      </c>
      <c r="U2053" t="str">
        <f>"540006707"</f>
        <v>540006707</v>
      </c>
    </row>
    <row r="2054" spans="1:21" x14ac:dyDescent="0.3">
      <c r="A2054" t="str">
        <f>"330040148"</f>
        <v>330040148</v>
      </c>
      <c r="B2054" t="str">
        <f>"534 919 857 00027"</f>
        <v>534 919 857 00027</v>
      </c>
      <c r="D2054" t="str">
        <f>"CENTRE DE SOINS INFIRMIERS"</f>
        <v>CENTRE DE SOINS INFIRMIERS</v>
      </c>
      <c r="F2054" t="str">
        <f>"52 AVENUE DE MAGUDAS"</f>
        <v>52 AVENUE DE MAGUDAS</v>
      </c>
      <c r="H2054" t="str">
        <f>"33700"</f>
        <v>33700</v>
      </c>
      <c r="I2054" t="str">
        <f>"MERIGNAC"</f>
        <v>MERIGNAC</v>
      </c>
      <c r="J2054" t="str">
        <f>"05 56 97 21 36 "</f>
        <v xml:space="preserve">05 56 97 21 36 </v>
      </c>
      <c r="K2054" t="str">
        <f>"05 56 79 08 30"</f>
        <v>05 56 79 08 30</v>
      </c>
      <c r="L2054" s="1">
        <v>40817</v>
      </c>
      <c r="M2054" t="str">
        <f t="shared" si="333"/>
        <v>124</v>
      </c>
      <c r="N2054" t="str">
        <f t="shared" si="334"/>
        <v>Centre de Santé</v>
      </c>
      <c r="O2054" t="str">
        <f>"60"</f>
        <v>60</v>
      </c>
      <c r="P2054" t="str">
        <f>"Association Loi 1901 non Reconnue d'Utilité Publique"</f>
        <v>Association Loi 1901 non Reconnue d'Utilité Publique</v>
      </c>
      <c r="Q2054" t="str">
        <f t="shared" si="331"/>
        <v>36</v>
      </c>
      <c r="R2054" t="str">
        <f t="shared" si="332"/>
        <v>Tarifs conventionnels assurance maladie</v>
      </c>
      <c r="U2054" t="str">
        <f>"330040098"</f>
        <v>330040098</v>
      </c>
    </row>
    <row r="2055" spans="1:21" x14ac:dyDescent="0.3">
      <c r="A2055" t="str">
        <f>"500021407"</f>
        <v>500021407</v>
      </c>
      <c r="B2055" t="str">
        <f>"308 549 237 00425"</f>
        <v>308 549 237 00425</v>
      </c>
      <c r="D2055" t="str">
        <f>"CENTRE DE SANTE - AVRANCHES"</f>
        <v>CENTRE DE SANTE - AVRANCHES</v>
      </c>
      <c r="F2055" t="str">
        <f>"56 RUE DE LA LIBERTE"</f>
        <v>56 RUE DE LA LIBERTE</v>
      </c>
      <c r="H2055" t="str">
        <f>"50300"</f>
        <v>50300</v>
      </c>
      <c r="I2055" t="str">
        <f>"AVRANCHES"</f>
        <v>AVRANCHES</v>
      </c>
      <c r="J2055" t="str">
        <f>"02 99 20 01 65 "</f>
        <v xml:space="preserve">02 99 20 01 65 </v>
      </c>
      <c r="K2055" t="str">
        <f>"02 33 48 32 31"</f>
        <v>02 33 48 32 31</v>
      </c>
      <c r="L2055" s="1">
        <v>40817</v>
      </c>
      <c r="M2055" t="str">
        <f t="shared" si="333"/>
        <v>124</v>
      </c>
      <c r="N2055" t="str">
        <f t="shared" si="334"/>
        <v>Centre de Santé</v>
      </c>
      <c r="O2055" t="str">
        <f>"63"</f>
        <v>63</v>
      </c>
      <c r="P2055" t="str">
        <f>"Fondation"</f>
        <v>Fondation</v>
      </c>
      <c r="Q2055" t="str">
        <f t="shared" si="331"/>
        <v>36</v>
      </c>
      <c r="R2055" t="str">
        <f t="shared" si="332"/>
        <v>Tarifs conventionnels assurance maladie</v>
      </c>
      <c r="U2055" t="str">
        <f>"350000626"</f>
        <v>350000626</v>
      </c>
    </row>
    <row r="2056" spans="1:21" x14ac:dyDescent="0.3">
      <c r="A2056" t="str">
        <f>"930024856"</f>
        <v>930024856</v>
      </c>
      <c r="B2056" t="str">
        <f>"380 739 508 00014"</f>
        <v>380 739 508 00014</v>
      </c>
      <c r="D2056" t="str">
        <f>"CDS DU VERT GALANT"</f>
        <v>CDS DU VERT GALANT</v>
      </c>
      <c r="F2056" t="str">
        <f>"7 AVENUE AUGUSTE BLANQUI"</f>
        <v>7 AVENUE AUGUSTE BLANQUI</v>
      </c>
      <c r="H2056" t="str">
        <f>"93420"</f>
        <v>93420</v>
      </c>
      <c r="I2056" t="str">
        <f>"VILLEPINTE"</f>
        <v>VILLEPINTE</v>
      </c>
      <c r="J2056" t="str">
        <f>"01 49 63 41 80 "</f>
        <v xml:space="preserve">01 49 63 41 80 </v>
      </c>
      <c r="L2056" s="1">
        <v>40800</v>
      </c>
      <c r="M2056" t="str">
        <f t="shared" si="333"/>
        <v>124</v>
      </c>
      <c r="N2056" t="str">
        <f t="shared" si="334"/>
        <v>Centre de Santé</v>
      </c>
      <c r="O2056" t="str">
        <f>"61"</f>
        <v>61</v>
      </c>
      <c r="P2056" t="str">
        <f>"Association Loi 1901 Reconnue d'Utilité Publique"</f>
        <v>Association Loi 1901 Reconnue d'Utilité Publique</v>
      </c>
      <c r="Q2056" t="str">
        <f t="shared" si="331"/>
        <v>36</v>
      </c>
      <c r="R2056" t="str">
        <f t="shared" si="332"/>
        <v>Tarifs conventionnels assurance maladie</v>
      </c>
      <c r="U2056" t="str">
        <f>"750818726"</f>
        <v>750818726</v>
      </c>
    </row>
    <row r="2057" spans="1:21" x14ac:dyDescent="0.3">
      <c r="A2057" t="str">
        <f>"670016328"</f>
        <v>670016328</v>
      </c>
      <c r="B2057" t="str">
        <f>"434 111 126 00281"</f>
        <v>434 111 126 00281</v>
      </c>
      <c r="D2057" t="str">
        <f>"CENTRE DE SANTE DENTAIRE DE SAVERNE"</f>
        <v>CENTRE DE SANTE DENTAIRE DE SAVERNE</v>
      </c>
      <c r="F2057" t="str">
        <f>"133 GRAND RUE"</f>
        <v>133 GRAND RUE</v>
      </c>
      <c r="H2057" t="str">
        <f>"67700"</f>
        <v>67700</v>
      </c>
      <c r="I2057" t="str">
        <f>"SAVERNE"</f>
        <v>SAVERNE</v>
      </c>
      <c r="J2057" t="str">
        <f>"03 88 03 41 90 "</f>
        <v xml:space="preserve">03 88 03 41 90 </v>
      </c>
      <c r="K2057" t="str">
        <f>"03 88 84 29 69"</f>
        <v>03 88 84 29 69</v>
      </c>
      <c r="L2057" s="1">
        <v>40791</v>
      </c>
      <c r="M2057" t="str">
        <f t="shared" si="333"/>
        <v>124</v>
      </c>
      <c r="N2057" t="str">
        <f t="shared" si="334"/>
        <v>Centre de Santé</v>
      </c>
      <c r="O2057" t="str">
        <f>"47"</f>
        <v>47</v>
      </c>
      <c r="P2057" t="str">
        <f>"Société Mutualiste"</f>
        <v>Société Mutualiste</v>
      </c>
      <c r="Q2057" t="str">
        <f t="shared" si="331"/>
        <v>36</v>
      </c>
      <c r="R2057" t="str">
        <f t="shared" si="332"/>
        <v>Tarifs conventionnels assurance maladie</v>
      </c>
      <c r="U2057" t="str">
        <f>"670010339"</f>
        <v>670010339</v>
      </c>
    </row>
    <row r="2058" spans="1:21" x14ac:dyDescent="0.3">
      <c r="A2058" t="str">
        <f>"940020498"</f>
        <v>940020498</v>
      </c>
      <c r="B2058" t="str">
        <f>"534 936 075 00017"</f>
        <v>534 936 075 00017</v>
      </c>
      <c r="D2058" t="str">
        <f>"CDS CARDIOMEDICAL DE CRETEIL"</f>
        <v>CDS CARDIOMEDICAL DE CRETEIL</v>
      </c>
      <c r="E2058" t="str">
        <f>"92-96"</f>
        <v>92-96</v>
      </c>
      <c r="F2058" t="str">
        <f>"92 AVENUE DU GENERAL DE GAULLE"</f>
        <v>92 AVENUE DU GENERAL DE GAULLE</v>
      </c>
      <c r="H2058" t="str">
        <f>"94000"</f>
        <v>94000</v>
      </c>
      <c r="I2058" t="str">
        <f>"CRETEIL"</f>
        <v>CRETEIL</v>
      </c>
      <c r="J2058" t="str">
        <f>"01 43 77 78 83 "</f>
        <v xml:space="preserve">01 43 77 78 83 </v>
      </c>
      <c r="K2058" t="str">
        <f>"09 58 01 12 33"</f>
        <v>09 58 01 12 33</v>
      </c>
      <c r="L2058" s="1">
        <v>40791</v>
      </c>
      <c r="M2058" t="str">
        <f t="shared" si="333"/>
        <v>124</v>
      </c>
      <c r="N2058" t="str">
        <f t="shared" si="334"/>
        <v>Centre de Santé</v>
      </c>
      <c r="O2058" t="str">
        <f>"60"</f>
        <v>60</v>
      </c>
      <c r="P2058" t="str">
        <f>"Association Loi 1901 non Reconnue d'Utilité Publique"</f>
        <v>Association Loi 1901 non Reconnue d'Utilité Publique</v>
      </c>
      <c r="Q2058" t="str">
        <f t="shared" si="331"/>
        <v>36</v>
      </c>
      <c r="R2058" t="str">
        <f t="shared" si="332"/>
        <v>Tarifs conventionnels assurance maladie</v>
      </c>
      <c r="U2058" t="str">
        <f>"940020449"</f>
        <v>940020449</v>
      </c>
    </row>
    <row r="2059" spans="1:21" x14ac:dyDescent="0.3">
      <c r="A2059" t="str">
        <f>"170024699"</f>
        <v>170024699</v>
      </c>
      <c r="D2059" t="str">
        <f>"CENTRE DE SANTE - SIUMPPS"</f>
        <v>CENTRE DE SANTE - SIUMPPS</v>
      </c>
      <c r="E2059" t="str">
        <f>"UNIVERSITE DE LA ROCHELLE"</f>
        <v>UNIVERSITE DE LA ROCHELLE</v>
      </c>
      <c r="F2059" t="str">
        <f>"44 AVENUE ALBERT EINSTEIN"</f>
        <v>44 AVENUE ALBERT EINSTEIN</v>
      </c>
      <c r="H2059" t="str">
        <f>"17000"</f>
        <v>17000</v>
      </c>
      <c r="I2059" t="str">
        <f>"LA ROCHELLE"</f>
        <v>LA ROCHELLE</v>
      </c>
      <c r="L2059" s="1">
        <v>40788</v>
      </c>
      <c r="M2059" t="str">
        <f t="shared" si="333"/>
        <v>124</v>
      </c>
      <c r="N2059" t="str">
        <f t="shared" si="334"/>
        <v>Centre de Santé</v>
      </c>
      <c r="O2059" t="str">
        <f>"26"</f>
        <v>26</v>
      </c>
      <c r="P2059" t="str">
        <f>"Autre Etablissement Public à Caractère Administratif"</f>
        <v>Autre Etablissement Public à Caractère Administratif</v>
      </c>
      <c r="Q2059" t="str">
        <f t="shared" si="331"/>
        <v>36</v>
      </c>
      <c r="R2059" t="str">
        <f t="shared" si="332"/>
        <v>Tarifs conventionnels assurance maladie</v>
      </c>
      <c r="U2059" t="str">
        <f>"860006345"</f>
        <v>860006345</v>
      </c>
    </row>
    <row r="2060" spans="1:21" x14ac:dyDescent="0.3">
      <c r="A2060" t="str">
        <f>"380803106"</f>
        <v>380803106</v>
      </c>
      <c r="B2060" t="str">
        <f>"775 761 844 00676"</f>
        <v>775 761 844 00676</v>
      </c>
      <c r="D2060" t="str">
        <f>"CENTRE DE SANTE OXANCE ECHIROLLES"</f>
        <v>CENTRE DE SANTE OXANCE ECHIROLLES</v>
      </c>
      <c r="F2060" t="str">
        <f>"4 AVENUE DES FTPF"</f>
        <v>4 AVENUE DES FTPF</v>
      </c>
      <c r="H2060" t="str">
        <f>"38130"</f>
        <v>38130</v>
      </c>
      <c r="I2060" t="str">
        <f>"ECHIROLLES"</f>
        <v>ECHIROLLES</v>
      </c>
      <c r="J2060" t="str">
        <f>"04 76 40 50 40 "</f>
        <v xml:space="preserve">04 76 40 50 40 </v>
      </c>
      <c r="K2060" t="str">
        <f>"04 76 40 60 11"</f>
        <v>04 76 40 60 11</v>
      </c>
      <c r="L2060" s="1">
        <v>40787</v>
      </c>
      <c r="M2060" t="str">
        <f t="shared" si="333"/>
        <v>124</v>
      </c>
      <c r="N2060" t="str">
        <f t="shared" si="334"/>
        <v>Centre de Santé</v>
      </c>
      <c r="O2060" t="str">
        <f>"47"</f>
        <v>47</v>
      </c>
      <c r="P2060" t="str">
        <f>"Société Mutualiste"</f>
        <v>Société Mutualiste</v>
      </c>
      <c r="Q2060" t="str">
        <f t="shared" si="331"/>
        <v>36</v>
      </c>
      <c r="R2060" t="str">
        <f t="shared" si="332"/>
        <v>Tarifs conventionnels assurance maladie</v>
      </c>
      <c r="U2060" t="str">
        <f>"690048111"</f>
        <v>690048111</v>
      </c>
    </row>
    <row r="2061" spans="1:21" x14ac:dyDescent="0.3">
      <c r="A2061" t="str">
        <f>"420789455"</f>
        <v>420789455</v>
      </c>
      <c r="B2061" t="str">
        <f>"775 685 316 00629"</f>
        <v>775 685 316 00629</v>
      </c>
      <c r="D2061" t="str">
        <f>"CENTRE DE SANTE FILIERIS DE ST-ETIENNE"</f>
        <v>CENTRE DE SANTE FILIERIS DE ST-ETIENNE</v>
      </c>
      <c r="F2061" t="str">
        <f>"7 AVENUE AUGUSTIN DUPRE"</f>
        <v>7 AVENUE AUGUSTIN DUPRE</v>
      </c>
      <c r="H2061" t="str">
        <f>"42100"</f>
        <v>42100</v>
      </c>
      <c r="I2061" t="str">
        <f>"ST ETIENNE"</f>
        <v>ST ETIENNE</v>
      </c>
      <c r="J2061" t="str">
        <f>"04 77 43 59 52 "</f>
        <v xml:space="preserve">04 77 43 59 52 </v>
      </c>
      <c r="L2061" s="1">
        <v>40787</v>
      </c>
      <c r="M2061" t="str">
        <f t="shared" si="333"/>
        <v>124</v>
      </c>
      <c r="N2061" t="str">
        <f t="shared" si="334"/>
        <v>Centre de Santé</v>
      </c>
      <c r="O2061" t="str">
        <f>"41"</f>
        <v>41</v>
      </c>
      <c r="P2061" t="str">
        <f>"Régime Spécial de Sécurité Sociale"</f>
        <v>Régime Spécial de Sécurité Sociale</v>
      </c>
      <c r="Q2061" t="str">
        <f t="shared" si="331"/>
        <v>36</v>
      </c>
      <c r="R2061" t="str">
        <f t="shared" si="332"/>
        <v>Tarifs conventionnels assurance maladie</v>
      </c>
      <c r="U2061" t="str">
        <f>"750050759"</f>
        <v>750050759</v>
      </c>
    </row>
    <row r="2062" spans="1:21" x14ac:dyDescent="0.3">
      <c r="A2062" t="str">
        <f>"420789463"</f>
        <v>420789463</v>
      </c>
      <c r="B2062" t="str">
        <f>"775 685 316 00686"</f>
        <v>775 685 316 00686</v>
      </c>
      <c r="D2062" t="str">
        <f>"CENTRE DE SANTE FILIERIS LA RICAMARIE"</f>
        <v>CENTRE DE SANTE FILIERIS LA RICAMARIE</v>
      </c>
      <c r="F2062" t="str">
        <f>"5 RUE JULES FERRY"</f>
        <v>5 RUE JULES FERRY</v>
      </c>
      <c r="H2062" t="str">
        <f>"42150"</f>
        <v>42150</v>
      </c>
      <c r="I2062" t="str">
        <f>"LA RICAMARIE"</f>
        <v>LA RICAMARIE</v>
      </c>
      <c r="J2062" t="str">
        <f>"04 77 57 49 02 "</f>
        <v xml:space="preserve">04 77 57 49 02 </v>
      </c>
      <c r="K2062" t="str">
        <f>"04 77 57 87 08"</f>
        <v>04 77 57 87 08</v>
      </c>
      <c r="L2062" s="1">
        <v>40787</v>
      </c>
      <c r="M2062" t="str">
        <f t="shared" si="333"/>
        <v>124</v>
      </c>
      <c r="N2062" t="str">
        <f t="shared" si="334"/>
        <v>Centre de Santé</v>
      </c>
      <c r="O2062" t="str">
        <f>"41"</f>
        <v>41</v>
      </c>
      <c r="P2062" t="str">
        <f>"Régime Spécial de Sécurité Sociale"</f>
        <v>Régime Spécial de Sécurité Sociale</v>
      </c>
      <c r="Q2062" t="str">
        <f t="shared" si="331"/>
        <v>36</v>
      </c>
      <c r="R2062" t="str">
        <f t="shared" si="332"/>
        <v>Tarifs conventionnels assurance maladie</v>
      </c>
      <c r="U2062" t="str">
        <f>"750050759"</f>
        <v>750050759</v>
      </c>
    </row>
    <row r="2063" spans="1:21" x14ac:dyDescent="0.3">
      <c r="A2063" t="str">
        <f>"420789497"</f>
        <v>420789497</v>
      </c>
      <c r="B2063" t="str">
        <f>"775 685 316 00652"</f>
        <v>775 685 316 00652</v>
      </c>
      <c r="D2063" t="str">
        <f>"CENTRE DE SANTE FILIERIS ROCHE-MOLIERE"</f>
        <v>CENTRE DE SANTE FILIERIS ROCHE-MOLIERE</v>
      </c>
      <c r="F2063" t="str">
        <f>"10 RUE DU PROFESSEUR CALMETTE"</f>
        <v>10 RUE DU PROFESSEUR CALMETTE</v>
      </c>
      <c r="H2063" t="str">
        <f>"42230"</f>
        <v>42230</v>
      </c>
      <c r="I2063" t="str">
        <f>"ROCHE LA MOLIERE"</f>
        <v>ROCHE LA MOLIERE</v>
      </c>
      <c r="J2063" t="str">
        <f>"04 77 90 62 23 "</f>
        <v xml:space="preserve">04 77 90 62 23 </v>
      </c>
      <c r="K2063" t="str">
        <f>"04 77 90 12 93"</f>
        <v>04 77 90 12 93</v>
      </c>
      <c r="L2063" s="1">
        <v>40787</v>
      </c>
      <c r="M2063" t="str">
        <f t="shared" si="333"/>
        <v>124</v>
      </c>
      <c r="N2063" t="str">
        <f t="shared" si="334"/>
        <v>Centre de Santé</v>
      </c>
      <c r="O2063" t="str">
        <f>"41"</f>
        <v>41</v>
      </c>
      <c r="P2063" t="str">
        <f>"Régime Spécial de Sécurité Sociale"</f>
        <v>Régime Spécial de Sécurité Sociale</v>
      </c>
      <c r="Q2063" t="str">
        <f t="shared" si="331"/>
        <v>36</v>
      </c>
      <c r="R2063" t="str">
        <f t="shared" si="332"/>
        <v>Tarifs conventionnels assurance maladie</v>
      </c>
      <c r="U2063" t="str">
        <f>"750050759"</f>
        <v>750050759</v>
      </c>
    </row>
    <row r="2064" spans="1:21" x14ac:dyDescent="0.3">
      <c r="A2064" t="str">
        <f>"590050472"</f>
        <v>590050472</v>
      </c>
      <c r="B2064" t="str">
        <f>"775 685 316 03003"</f>
        <v>775 685 316 03003</v>
      </c>
      <c r="D2064" t="str">
        <f>"CTRE SANTÉ SPÉCIALITÉS FILIERIS ANZIN"</f>
        <v>CTRE SANTÉ SPÉCIALITÉS FILIERIS ANZIN</v>
      </c>
      <c r="F2064" t="str">
        <f>"78 RUE JEAN JAURES"</f>
        <v>78 RUE JEAN JAURES</v>
      </c>
      <c r="H2064" t="str">
        <f>"59410"</f>
        <v>59410</v>
      </c>
      <c r="I2064" t="str">
        <f>"ANZIN"</f>
        <v>ANZIN</v>
      </c>
      <c r="J2064" t="str">
        <f>"03 27 14 92 00 "</f>
        <v xml:space="preserve">03 27 14 92 00 </v>
      </c>
      <c r="K2064" t="str">
        <f>"03 27 29 43 37"</f>
        <v>03 27 29 43 37</v>
      </c>
      <c r="L2064" s="1">
        <v>40787</v>
      </c>
      <c r="M2064" t="str">
        <f t="shared" si="333"/>
        <v>124</v>
      </c>
      <c r="N2064" t="str">
        <f t="shared" si="334"/>
        <v>Centre de Santé</v>
      </c>
      <c r="O2064" t="str">
        <f>"41"</f>
        <v>41</v>
      </c>
      <c r="P2064" t="str">
        <f>"Régime Spécial de Sécurité Sociale"</f>
        <v>Régime Spécial de Sécurité Sociale</v>
      </c>
      <c r="Q2064" t="str">
        <f t="shared" si="331"/>
        <v>36</v>
      </c>
      <c r="R2064" t="str">
        <f t="shared" si="332"/>
        <v>Tarifs conventionnels assurance maladie</v>
      </c>
      <c r="U2064" t="str">
        <f>"750050759"</f>
        <v>750050759</v>
      </c>
    </row>
    <row r="2065" spans="1:21" x14ac:dyDescent="0.3">
      <c r="A2065" t="str">
        <f>"750050445"</f>
        <v>750050445</v>
      </c>
      <c r="B2065" t="str">
        <f>"842 167 256 00028"</f>
        <v>842 167 256 00028</v>
      </c>
      <c r="D2065" t="str">
        <f>"CDS DENTAIRE ORTHODONTIE &amp; PEDODONTIE"</f>
        <v>CDS DENTAIRE ORTHODONTIE &amp; PEDODONTIE</v>
      </c>
      <c r="F2065" t="str">
        <f>"60 RUE PELLEPORT"</f>
        <v>60 RUE PELLEPORT</v>
      </c>
      <c r="H2065" t="str">
        <f>"75020"</f>
        <v>75020</v>
      </c>
      <c r="I2065" t="str">
        <f>"PARIS"</f>
        <v>PARIS</v>
      </c>
      <c r="J2065" t="str">
        <f>"01 53 39 90 15 "</f>
        <v xml:space="preserve">01 53 39 90 15 </v>
      </c>
      <c r="L2065" s="1">
        <v>40787</v>
      </c>
      <c r="M2065" t="str">
        <f t="shared" si="333"/>
        <v>124</v>
      </c>
      <c r="N2065" t="str">
        <f t="shared" si="334"/>
        <v>Centre de Santé</v>
      </c>
      <c r="O2065" t="str">
        <f>"60"</f>
        <v>60</v>
      </c>
      <c r="P2065" t="str">
        <f>"Association Loi 1901 non Reconnue d'Utilité Publique"</f>
        <v>Association Loi 1901 non Reconnue d'Utilité Publique</v>
      </c>
      <c r="Q2065" t="str">
        <f t="shared" si="331"/>
        <v>36</v>
      </c>
      <c r="R2065" t="str">
        <f t="shared" si="332"/>
        <v>Tarifs conventionnels assurance maladie</v>
      </c>
      <c r="U2065" t="str">
        <f>"750062887"</f>
        <v>750062887</v>
      </c>
    </row>
    <row r="2066" spans="1:21" x14ac:dyDescent="0.3">
      <c r="A2066" t="str">
        <f>"700780331"</f>
        <v>700780331</v>
      </c>
      <c r="B2066" t="str">
        <f>"792 174 856 00015"</f>
        <v>792 174 856 00015</v>
      </c>
      <c r="D2066" t="str">
        <f>"CENTRE SANTE INFIRMIER ELIAD VESOUL"</f>
        <v>CENTRE SANTE INFIRMIER ELIAD VESOUL</v>
      </c>
      <c r="F2066" t="str">
        <f>"28 RUE GEROME"</f>
        <v>28 RUE GEROME</v>
      </c>
      <c r="H2066" t="str">
        <f>"70000"</f>
        <v>70000</v>
      </c>
      <c r="I2066" t="str">
        <f>"VESOUL"</f>
        <v>VESOUL</v>
      </c>
      <c r="J2066" t="str">
        <f>"03 84 76 05 30 "</f>
        <v xml:space="preserve">03 84 76 05 30 </v>
      </c>
      <c r="L2066" s="1">
        <v>40756</v>
      </c>
      <c r="M2066" t="str">
        <f t="shared" si="333"/>
        <v>124</v>
      </c>
      <c r="N2066" t="str">
        <f t="shared" si="334"/>
        <v>Centre de Santé</v>
      </c>
      <c r="O2066" t="str">
        <f>"60"</f>
        <v>60</v>
      </c>
      <c r="P2066" t="str">
        <f>"Association Loi 1901 non Reconnue d'Utilité Publique"</f>
        <v>Association Loi 1901 non Reconnue d'Utilité Publique</v>
      </c>
      <c r="Q2066" t="str">
        <f t="shared" si="331"/>
        <v>36</v>
      </c>
      <c r="R2066" t="str">
        <f t="shared" si="332"/>
        <v>Tarifs conventionnels assurance maladie</v>
      </c>
      <c r="U2066" t="str">
        <f>"250019510"</f>
        <v>250019510</v>
      </c>
    </row>
    <row r="2067" spans="1:21" x14ac:dyDescent="0.3">
      <c r="A2067" t="str">
        <f>"300013844"</f>
        <v>300013844</v>
      </c>
      <c r="B2067" t="str">
        <f>"813 179 793 00118"</f>
        <v>813 179 793 00118</v>
      </c>
      <c r="D2067" t="str">
        <f>"CDS DENTAIRE MFGS SSAM BAGNOLS CEZE"</f>
        <v>CDS DENTAIRE MFGS SSAM BAGNOLS CEZE</v>
      </c>
      <c r="F2067" t="str">
        <f>"12 RUE DU PARC"</f>
        <v>12 RUE DU PARC</v>
      </c>
      <c r="H2067" t="str">
        <f>"30200"</f>
        <v>30200</v>
      </c>
      <c r="I2067" t="str">
        <f>"BAGNOLS SUR CEZE"</f>
        <v>BAGNOLS SUR CEZE</v>
      </c>
      <c r="J2067" t="str">
        <f>"04 66 39 63 15 "</f>
        <v xml:space="preserve">04 66 39 63 15 </v>
      </c>
      <c r="K2067" t="str">
        <f>"04 66 04 30 35"</f>
        <v>04 66 04 30 35</v>
      </c>
      <c r="L2067" s="1">
        <v>40751</v>
      </c>
      <c r="M2067" t="str">
        <f t="shared" si="333"/>
        <v>124</v>
      </c>
      <c r="N2067" t="str">
        <f t="shared" si="334"/>
        <v>Centre de Santé</v>
      </c>
      <c r="O2067" t="str">
        <f>"47"</f>
        <v>47</v>
      </c>
      <c r="P2067" t="str">
        <f>"Société Mutualiste"</f>
        <v>Société Mutualiste</v>
      </c>
      <c r="Q2067" t="str">
        <f t="shared" si="331"/>
        <v>36</v>
      </c>
      <c r="R2067" t="str">
        <f t="shared" si="332"/>
        <v>Tarifs conventionnels assurance maladie</v>
      </c>
      <c r="U2067" t="str">
        <f>"340023209"</f>
        <v>340023209</v>
      </c>
    </row>
    <row r="2068" spans="1:21" x14ac:dyDescent="0.3">
      <c r="A2068" t="str">
        <f>"720018860"</f>
        <v>720018860</v>
      </c>
      <c r="B2068" t="str">
        <f>"217 201 326 00014"</f>
        <v>217 201 326 00014</v>
      </c>
      <c r="D2068" t="str">
        <f>"PÔLE SANTE SIMONE VEIL"</f>
        <v>PÔLE SANTE SIMONE VEIL</v>
      </c>
      <c r="F2068" t="str">
        <f>"RUE DE MAMERS"</f>
        <v>RUE DE MAMERS</v>
      </c>
      <c r="G2068" t="str">
        <f>"ZI DU JONCHERAY"</f>
        <v>ZI DU JONCHERAY</v>
      </c>
      <c r="H2068" t="str">
        <f>"72400"</f>
        <v>72400</v>
      </c>
      <c r="I2068" t="str">
        <f>"LA FERTE BERNARD"</f>
        <v>LA FERTE BERNARD</v>
      </c>
      <c r="J2068" t="str">
        <f>"02 43 93 93 93 "</f>
        <v xml:space="preserve">02 43 93 93 93 </v>
      </c>
      <c r="L2068" s="1">
        <v>40725</v>
      </c>
      <c r="M2068" t="str">
        <f t="shared" si="333"/>
        <v>124</v>
      </c>
      <c r="N2068" t="str">
        <f t="shared" si="334"/>
        <v>Centre de Santé</v>
      </c>
      <c r="O2068" t="str">
        <f>"06"</f>
        <v>06</v>
      </c>
      <c r="P2068" t="str">
        <f>"Autre Collectivité Territoriale"</f>
        <v>Autre Collectivité Territoriale</v>
      </c>
      <c r="Q2068" t="str">
        <f t="shared" si="331"/>
        <v>36</v>
      </c>
      <c r="R2068" t="str">
        <f t="shared" si="332"/>
        <v>Tarifs conventionnels assurance maladie</v>
      </c>
      <c r="U2068" t="str">
        <f>"720015601"</f>
        <v>720015601</v>
      </c>
    </row>
    <row r="2069" spans="1:21" x14ac:dyDescent="0.3">
      <c r="A2069" t="str">
        <f>"750049694"</f>
        <v>750049694</v>
      </c>
      <c r="B2069" t="str">
        <f>"528 068 968 00015"</f>
        <v>528 068 968 00015</v>
      </c>
      <c r="D2069" t="str">
        <f>"CDS MEDICAL MANIN"</f>
        <v>CDS MEDICAL MANIN</v>
      </c>
      <c r="F2069" t="str">
        <f>"147 RUE MANIN"</f>
        <v>147 RUE MANIN</v>
      </c>
      <c r="H2069" t="str">
        <f>"75019"</f>
        <v>75019</v>
      </c>
      <c r="I2069" t="str">
        <f>"PARIS"</f>
        <v>PARIS</v>
      </c>
      <c r="J2069" t="str">
        <f>"01 42 00 07 59 "</f>
        <v xml:space="preserve">01 42 00 07 59 </v>
      </c>
      <c r="L2069" s="1">
        <v>40709</v>
      </c>
      <c r="M2069" t="str">
        <f t="shared" si="333"/>
        <v>124</v>
      </c>
      <c r="N2069" t="str">
        <f t="shared" si="334"/>
        <v>Centre de Santé</v>
      </c>
      <c r="O2069" t="str">
        <f>"60"</f>
        <v>60</v>
      </c>
      <c r="P2069" t="str">
        <f>"Association Loi 1901 non Reconnue d'Utilité Publique"</f>
        <v>Association Loi 1901 non Reconnue d'Utilité Publique</v>
      </c>
      <c r="Q2069" t="str">
        <f t="shared" si="331"/>
        <v>36</v>
      </c>
      <c r="R2069" t="str">
        <f t="shared" si="332"/>
        <v>Tarifs conventionnels assurance maladie</v>
      </c>
      <c r="U2069" t="str">
        <f>"750049686"</f>
        <v>750049686</v>
      </c>
    </row>
    <row r="2070" spans="1:21" x14ac:dyDescent="0.3">
      <c r="A2070" t="str">
        <f>"850018250"</f>
        <v>850018250</v>
      </c>
      <c r="B2070" t="str">
        <f>"844 881 417 00886"</f>
        <v>844 881 417 00886</v>
      </c>
      <c r="D2070" t="str">
        <f>"CTRE SANTE DENTAIRE CHATEAU D'OLONNE"</f>
        <v>CTRE SANTE DENTAIRE CHATEAU D'OLONNE</v>
      </c>
      <c r="F2070" t="str">
        <f>"1 IMPASSE PAUL ELUARD"</f>
        <v>1 IMPASSE PAUL ELUARD</v>
      </c>
      <c r="G2070" t="str">
        <f>"CHATEAU-D'OLONNE"</f>
        <v>CHATEAU-D'OLONNE</v>
      </c>
      <c r="H2070" t="str">
        <f>"85180"</f>
        <v>85180</v>
      </c>
      <c r="I2070" t="str">
        <f>"LES SABLES D OLONNE"</f>
        <v>LES SABLES D OLONNE</v>
      </c>
      <c r="J2070" t="str">
        <f>"02 51 20 40 80 "</f>
        <v xml:space="preserve">02 51 20 40 80 </v>
      </c>
      <c r="K2070" t="str">
        <f>"02 51 20 40 81"</f>
        <v>02 51 20 40 81</v>
      </c>
      <c r="L2070" s="1">
        <v>40708</v>
      </c>
      <c r="M2070" t="str">
        <f t="shared" si="333"/>
        <v>124</v>
      </c>
      <c r="N2070" t="str">
        <f t="shared" si="334"/>
        <v>Centre de Santé</v>
      </c>
      <c r="O2070" t="str">
        <f>"47"</f>
        <v>47</v>
      </c>
      <c r="P2070" t="str">
        <f>"Société Mutualiste"</f>
        <v>Société Mutualiste</v>
      </c>
      <c r="Q2070" t="str">
        <f t="shared" si="331"/>
        <v>36</v>
      </c>
      <c r="R2070" t="str">
        <f t="shared" si="332"/>
        <v>Tarifs conventionnels assurance maladie</v>
      </c>
      <c r="U2070" t="str">
        <f>"850028085"</f>
        <v>850028085</v>
      </c>
    </row>
    <row r="2071" spans="1:21" x14ac:dyDescent="0.3">
      <c r="A2071" t="str">
        <f>"750050064"</f>
        <v>750050064</v>
      </c>
      <c r="B2071" t="str">
        <f>"817 736 879 00013"</f>
        <v>817 736 879 00013</v>
      </c>
      <c r="D2071" t="str">
        <f>"CDS ADMD MYRHA"</f>
        <v>CDS ADMD MYRHA</v>
      </c>
      <c r="F2071" t="str">
        <f>"22 RUE MYRHA"</f>
        <v>22 RUE MYRHA</v>
      </c>
      <c r="H2071" t="str">
        <f>"75018"</f>
        <v>75018</v>
      </c>
      <c r="I2071" t="str">
        <f>"PARIS"</f>
        <v>PARIS</v>
      </c>
      <c r="J2071" t="str">
        <f>"01 42 02 25 12 "</f>
        <v xml:space="preserve">01 42 02 25 12 </v>
      </c>
      <c r="L2071" s="1">
        <v>40690</v>
      </c>
      <c r="M2071" t="str">
        <f t="shared" si="333"/>
        <v>124</v>
      </c>
      <c r="N2071" t="str">
        <f t="shared" si="334"/>
        <v>Centre de Santé</v>
      </c>
      <c r="O2071" t="str">
        <f>"60"</f>
        <v>60</v>
      </c>
      <c r="P2071" t="str">
        <f>"Association Loi 1901 non Reconnue d'Utilité Publique"</f>
        <v>Association Loi 1901 non Reconnue d'Utilité Publique</v>
      </c>
      <c r="Q2071" t="str">
        <f t="shared" si="331"/>
        <v>36</v>
      </c>
      <c r="R2071" t="str">
        <f t="shared" si="332"/>
        <v>Tarifs conventionnels assurance maladie</v>
      </c>
      <c r="U2071" t="str">
        <f>"750061350"</f>
        <v>750061350</v>
      </c>
    </row>
    <row r="2072" spans="1:21" x14ac:dyDescent="0.3">
      <c r="A2072" t="str">
        <f>"380789164"</f>
        <v>380789164</v>
      </c>
      <c r="B2072" t="str">
        <f>"263 810 053 00292"</f>
        <v>263 810 053 00292</v>
      </c>
      <c r="D2072" t="str">
        <f>"CENTRE DE SANTE CCAS ST-MARTIN-D'HERES"</f>
        <v>CENTRE DE SANTE CCAS ST-MARTIN-D'HERES</v>
      </c>
      <c r="F2072" t="str">
        <f>"44 RUE HENRI WALLON"</f>
        <v>44 RUE HENRI WALLON</v>
      </c>
      <c r="H2072" t="str">
        <f>"38400"</f>
        <v>38400</v>
      </c>
      <c r="I2072" t="str">
        <f>"ST MARTIN D HERES"</f>
        <v>ST MARTIN D HERES</v>
      </c>
      <c r="J2072" t="str">
        <f>"04 56 58 91 11 "</f>
        <v xml:space="preserve">04 56 58 91 11 </v>
      </c>
      <c r="K2072" t="str">
        <f>"04 56 58 91 10"</f>
        <v>04 56 58 91 10</v>
      </c>
      <c r="L2072" s="1">
        <v>40664</v>
      </c>
      <c r="M2072" t="str">
        <f t="shared" si="333"/>
        <v>124</v>
      </c>
      <c r="N2072" t="str">
        <f t="shared" si="334"/>
        <v>Centre de Santé</v>
      </c>
      <c r="O2072" t="str">
        <f>"17"</f>
        <v>17</v>
      </c>
      <c r="P2072" t="str">
        <f>"Centre Communal d'Action Sociale"</f>
        <v>Centre Communal d'Action Sociale</v>
      </c>
      <c r="Q2072" t="str">
        <f t="shared" si="331"/>
        <v>36</v>
      </c>
      <c r="R2072" t="str">
        <f t="shared" si="332"/>
        <v>Tarifs conventionnels assurance maladie</v>
      </c>
      <c r="U2072" t="str">
        <f>"380790824"</f>
        <v>380790824</v>
      </c>
    </row>
    <row r="2073" spans="1:21" x14ac:dyDescent="0.3">
      <c r="A2073" t="str">
        <f>"420013088"</f>
        <v>420013088</v>
      </c>
      <c r="B2073" t="str">
        <f>"775 602 436 00567"</f>
        <v>775 602 436 00567</v>
      </c>
      <c r="D2073" t="str">
        <f>"CENTRE DE SANTE MFL SSAM 11 NOVEMBRE"</f>
        <v>CENTRE DE SANTE MFL SSAM 11 NOVEMBRE</v>
      </c>
      <c r="F2073" t="str">
        <f>"70 RUE DU ONZE NOVEMBRE"</f>
        <v>70 RUE DU ONZE NOVEMBRE</v>
      </c>
      <c r="H2073" t="str">
        <f>"42000"</f>
        <v>42000</v>
      </c>
      <c r="I2073" t="str">
        <f>"ST ETIENNE"</f>
        <v>ST ETIENNE</v>
      </c>
      <c r="J2073" t="str">
        <f>"04 77 32 45 37 "</f>
        <v xml:space="preserve">04 77 32 45 37 </v>
      </c>
      <c r="K2073" t="str">
        <f>"04 77 33 60 89"</f>
        <v>04 77 33 60 89</v>
      </c>
      <c r="L2073" s="1">
        <v>40664</v>
      </c>
      <c r="M2073" t="str">
        <f t="shared" si="333"/>
        <v>124</v>
      </c>
      <c r="N2073" t="str">
        <f t="shared" si="334"/>
        <v>Centre de Santé</v>
      </c>
      <c r="O2073" t="str">
        <f>"47"</f>
        <v>47</v>
      </c>
      <c r="P2073" t="str">
        <f>"Société Mutualiste"</f>
        <v>Société Mutualiste</v>
      </c>
      <c r="Q2073" t="str">
        <f t="shared" si="331"/>
        <v>36</v>
      </c>
      <c r="R2073" t="str">
        <f t="shared" si="332"/>
        <v>Tarifs conventionnels assurance maladie</v>
      </c>
      <c r="U2073" t="str">
        <f>"420787061"</f>
        <v>420787061</v>
      </c>
    </row>
    <row r="2074" spans="1:21" x14ac:dyDescent="0.3">
      <c r="A2074" t="str">
        <f>"420787483"</f>
        <v>420787483</v>
      </c>
      <c r="B2074" t="str">
        <f>"326 406 998 00210"</f>
        <v>326 406 998 00210</v>
      </c>
      <c r="D2074" t="str">
        <f>"CENTRE DE SANTE MFL SAINT-ETIENNE"</f>
        <v>CENTRE DE SANTE MFL SAINT-ETIENNE</v>
      </c>
      <c r="F2074" t="str">
        <f>"70 RUE DES ACIERIES"</f>
        <v>70 RUE DES ACIERIES</v>
      </c>
      <c r="H2074" t="str">
        <f>"42000"</f>
        <v>42000</v>
      </c>
      <c r="I2074" t="str">
        <f>"ST ETIENNE"</f>
        <v>ST ETIENNE</v>
      </c>
      <c r="J2074" t="str">
        <f>"04 77 93 53 50 "</f>
        <v xml:space="preserve">04 77 93 53 50 </v>
      </c>
      <c r="K2074" t="str">
        <f>"04 77 93 99 53"</f>
        <v>04 77 93 99 53</v>
      </c>
      <c r="L2074" s="1">
        <v>40664</v>
      </c>
      <c r="M2074" t="str">
        <f t="shared" si="333"/>
        <v>124</v>
      </c>
      <c r="N2074" t="str">
        <f t="shared" si="334"/>
        <v>Centre de Santé</v>
      </c>
      <c r="O2074" t="str">
        <f>"47"</f>
        <v>47</v>
      </c>
      <c r="P2074" t="str">
        <f>"Société Mutualiste"</f>
        <v>Société Mutualiste</v>
      </c>
      <c r="Q2074" t="str">
        <f t="shared" si="331"/>
        <v>36</v>
      </c>
      <c r="R2074" t="str">
        <f t="shared" si="332"/>
        <v>Tarifs conventionnels assurance maladie</v>
      </c>
      <c r="U2074" t="str">
        <f>"420001596"</f>
        <v>420001596</v>
      </c>
    </row>
    <row r="2075" spans="1:21" x14ac:dyDescent="0.3">
      <c r="A2075" t="str">
        <f>"840017982"</f>
        <v>840017982</v>
      </c>
      <c r="B2075" t="str">
        <f>"491 147 880 00091"</f>
        <v>491 147 880 00091</v>
      </c>
      <c r="D2075" t="str">
        <f>"CDS DENTAIRE"</f>
        <v>CDS DENTAIRE</v>
      </c>
      <c r="F2075" t="str">
        <f>"25 ROUTE DE MONTFAVET"</f>
        <v>25 ROUTE DE MONTFAVET</v>
      </c>
      <c r="H2075" t="str">
        <f>"84000"</f>
        <v>84000</v>
      </c>
      <c r="I2075" t="str">
        <f>"AVIGNON"</f>
        <v>AVIGNON</v>
      </c>
      <c r="J2075" t="str">
        <f>"04 86 19 51 51 "</f>
        <v xml:space="preserve">04 86 19 51 51 </v>
      </c>
      <c r="L2075" s="1">
        <v>40659</v>
      </c>
      <c r="M2075" t="str">
        <f t="shared" si="333"/>
        <v>124</v>
      </c>
      <c r="N2075" t="str">
        <f t="shared" si="334"/>
        <v>Centre de Santé</v>
      </c>
      <c r="O2075" t="str">
        <f>"47"</f>
        <v>47</v>
      </c>
      <c r="P2075" t="str">
        <f>"Société Mutualiste"</f>
        <v>Société Mutualiste</v>
      </c>
      <c r="Q2075" t="str">
        <f t="shared" si="331"/>
        <v>36</v>
      </c>
      <c r="R2075" t="str">
        <f t="shared" si="332"/>
        <v>Tarifs conventionnels assurance maladie</v>
      </c>
      <c r="U2075" t="str">
        <f>"840016398"</f>
        <v>840016398</v>
      </c>
    </row>
    <row r="2076" spans="1:21" x14ac:dyDescent="0.3">
      <c r="A2076" t="str">
        <f>"750049660"</f>
        <v>750049660</v>
      </c>
      <c r="D2076" t="str">
        <f>"CDS DENTAIRE GALIATYS"</f>
        <v>CDS DENTAIRE GALIATYS</v>
      </c>
      <c r="F2076" t="str">
        <f>"6 BOULEVARD DE STRASBOURG"</f>
        <v>6 BOULEVARD DE STRASBOURG</v>
      </c>
      <c r="H2076" t="str">
        <f>"75010"</f>
        <v>75010</v>
      </c>
      <c r="I2076" t="str">
        <f>"PARIS"</f>
        <v>PARIS</v>
      </c>
      <c r="J2076" t="str">
        <f>"01 53 19 19 63 "</f>
        <v xml:space="preserve">01 53 19 19 63 </v>
      </c>
      <c r="K2076" t="str">
        <f>"01 53 19 19 93"</f>
        <v>01 53 19 19 93</v>
      </c>
      <c r="L2076" s="1">
        <v>40655</v>
      </c>
      <c r="M2076" t="str">
        <f t="shared" si="333"/>
        <v>124</v>
      </c>
      <c r="N2076" t="str">
        <f t="shared" si="334"/>
        <v>Centre de Santé</v>
      </c>
      <c r="O2076" t="str">
        <f>"60"</f>
        <v>60</v>
      </c>
      <c r="P2076" t="str">
        <f>"Association Loi 1901 non Reconnue d'Utilité Publique"</f>
        <v>Association Loi 1901 non Reconnue d'Utilité Publique</v>
      </c>
      <c r="Q2076" t="str">
        <f t="shared" si="331"/>
        <v>36</v>
      </c>
      <c r="R2076" t="str">
        <f t="shared" si="332"/>
        <v>Tarifs conventionnels assurance maladie</v>
      </c>
      <c r="U2076" t="str">
        <f>"750058182"</f>
        <v>750058182</v>
      </c>
    </row>
    <row r="2077" spans="1:21" x14ac:dyDescent="0.3">
      <c r="A2077" t="str">
        <f>"630011195"</f>
        <v>630011195</v>
      </c>
      <c r="B2077" t="str">
        <f>"453 304 255 00012"</f>
        <v>453 304 255 00012</v>
      </c>
      <c r="D2077" t="str">
        <f>"CENTRE DE SANTE PAUL SUSS"</f>
        <v>CENTRE DE SANTE PAUL SUSS</v>
      </c>
      <c r="F2077" t="str">
        <f>"41 RUE DAGUERRE"</f>
        <v>41 RUE DAGUERRE</v>
      </c>
      <c r="H2077" t="str">
        <f>"63000"</f>
        <v>63000</v>
      </c>
      <c r="I2077" t="str">
        <f>"CLERMONT FERRAND"</f>
        <v>CLERMONT FERRAND</v>
      </c>
      <c r="J2077" t="str">
        <f>"04 73 26 31 31 "</f>
        <v xml:space="preserve">04 73 26 31 31 </v>
      </c>
      <c r="K2077" t="str">
        <f>"04 73 26 26 20"</f>
        <v>04 73 26 26 20</v>
      </c>
      <c r="L2077" s="1">
        <v>40637</v>
      </c>
      <c r="M2077" t="str">
        <f t="shared" si="333"/>
        <v>124</v>
      </c>
      <c r="N2077" t="str">
        <f t="shared" si="334"/>
        <v>Centre de Santé</v>
      </c>
      <c r="O2077" t="str">
        <f>"60"</f>
        <v>60</v>
      </c>
      <c r="P2077" t="str">
        <f>"Association Loi 1901 non Reconnue d'Utilité Publique"</f>
        <v>Association Loi 1901 non Reconnue d'Utilité Publique</v>
      </c>
      <c r="Q2077" t="str">
        <f t="shared" si="331"/>
        <v>36</v>
      </c>
      <c r="R2077" t="str">
        <f t="shared" si="332"/>
        <v>Tarifs conventionnels assurance maladie</v>
      </c>
      <c r="U2077" t="str">
        <f>"630011187"</f>
        <v>630011187</v>
      </c>
    </row>
    <row r="2078" spans="1:21" x14ac:dyDescent="0.3">
      <c r="A2078" t="str">
        <f>"260011168"</f>
        <v>260011168</v>
      </c>
      <c r="B2078" t="str">
        <f>"531 395 648 00011"</f>
        <v>531 395 648 00011</v>
      </c>
      <c r="D2078" t="str">
        <f>"CENTRE DE SANTE PSMS DE CURNIER"</f>
        <v>CENTRE DE SANTE PSMS DE CURNIER</v>
      </c>
      <c r="E2078" t="str">
        <f>"MAISON SOCIALE DES TROIS VALLEES"</f>
        <v>MAISON SOCIALE DES TROIS VALLEES</v>
      </c>
      <c r="F2078" t="str">
        <f>""</f>
        <v/>
      </c>
      <c r="H2078" t="str">
        <f>"26110"</f>
        <v>26110</v>
      </c>
      <c r="I2078" t="str">
        <f>"CURNIER"</f>
        <v>CURNIER</v>
      </c>
      <c r="J2078" t="str">
        <f>"04 75 27 42 06 "</f>
        <v xml:space="preserve">04 75 27 42 06 </v>
      </c>
      <c r="K2078" t="str">
        <f>"04 75 27 43 88"</f>
        <v>04 75 27 43 88</v>
      </c>
      <c r="L2078" s="1">
        <v>40634</v>
      </c>
      <c r="M2078" t="str">
        <f t="shared" si="333"/>
        <v>124</v>
      </c>
      <c r="N2078" t="str">
        <f t="shared" si="334"/>
        <v>Centre de Santé</v>
      </c>
      <c r="O2078" t="str">
        <f>"60"</f>
        <v>60</v>
      </c>
      <c r="P2078" t="str">
        <f>"Association Loi 1901 non Reconnue d'Utilité Publique"</f>
        <v>Association Loi 1901 non Reconnue d'Utilité Publique</v>
      </c>
      <c r="Q2078" t="str">
        <f t="shared" si="331"/>
        <v>36</v>
      </c>
      <c r="R2078" t="str">
        <f t="shared" si="332"/>
        <v>Tarifs conventionnels assurance maladie</v>
      </c>
      <c r="U2078" t="str">
        <f>"260018536"</f>
        <v>260018536</v>
      </c>
    </row>
    <row r="2079" spans="1:21" x14ac:dyDescent="0.3">
      <c r="A2079" t="str">
        <f>"730782091"</f>
        <v>730782091</v>
      </c>
      <c r="B2079" t="str">
        <f>"775 648 223 00888"</f>
        <v>775 648 223 00888</v>
      </c>
      <c r="D2079" t="str">
        <f>"CENTRE DE SANTE MFS CHAMBERY"</f>
        <v>CENTRE DE SANTE MFS CHAMBERY</v>
      </c>
      <c r="F2079" t="str">
        <f>"43 PLACE D'ITALIE"</f>
        <v>43 PLACE D'ITALIE</v>
      </c>
      <c r="H2079" t="str">
        <f>"73000"</f>
        <v>73000</v>
      </c>
      <c r="I2079" t="str">
        <f>"CHAMBERY"</f>
        <v>CHAMBERY</v>
      </c>
      <c r="J2079" t="str">
        <f>"04 79 69 56 01 "</f>
        <v xml:space="preserve">04 79 69 56 01 </v>
      </c>
      <c r="K2079" t="str">
        <f>"04 79 96 34 66"</f>
        <v>04 79 96 34 66</v>
      </c>
      <c r="L2079" s="1">
        <v>40634</v>
      </c>
      <c r="M2079" t="str">
        <f t="shared" si="333"/>
        <v>124</v>
      </c>
      <c r="N2079" t="str">
        <f t="shared" si="334"/>
        <v>Centre de Santé</v>
      </c>
      <c r="O2079" t="str">
        <f>"47"</f>
        <v>47</v>
      </c>
      <c r="P2079" t="str">
        <f>"Société Mutualiste"</f>
        <v>Société Mutualiste</v>
      </c>
      <c r="Q2079" t="str">
        <f t="shared" si="331"/>
        <v>36</v>
      </c>
      <c r="R2079" t="str">
        <f t="shared" si="332"/>
        <v>Tarifs conventionnels assurance maladie</v>
      </c>
      <c r="U2079" t="str">
        <f>"690796602"</f>
        <v>690796602</v>
      </c>
    </row>
    <row r="2080" spans="1:21" x14ac:dyDescent="0.3">
      <c r="A2080" t="str">
        <f>"700780521"</f>
        <v>700780521</v>
      </c>
      <c r="B2080" t="str">
        <f>"792 174 856 00031"</f>
        <v>792 174 856 00031</v>
      </c>
      <c r="D2080" t="str">
        <f>"CENTRE SANTE INFIRMIERS ELIAD LURE"</f>
        <v>CENTRE SANTE INFIRMIERS ELIAD LURE</v>
      </c>
      <c r="F2080" t="str">
        <f>"RUE DES GABELOUS"</f>
        <v>RUE DES GABELOUS</v>
      </c>
      <c r="G2080" t="str">
        <f>"ZAC DE LA SALINE"</f>
        <v>ZAC DE LA SALINE</v>
      </c>
      <c r="H2080" t="str">
        <f>"70200"</f>
        <v>70200</v>
      </c>
      <c r="I2080" t="str">
        <f>"LURE"</f>
        <v>LURE</v>
      </c>
      <c r="J2080" t="str">
        <f>"03 84 30 20 55 "</f>
        <v xml:space="preserve">03 84 30 20 55 </v>
      </c>
      <c r="L2080" s="1">
        <v>40612</v>
      </c>
      <c r="M2080" t="str">
        <f t="shared" si="333"/>
        <v>124</v>
      </c>
      <c r="N2080" t="str">
        <f t="shared" si="334"/>
        <v>Centre de Santé</v>
      </c>
      <c r="O2080" t="str">
        <f>"60"</f>
        <v>60</v>
      </c>
      <c r="P2080" t="str">
        <f>"Association Loi 1901 non Reconnue d'Utilité Publique"</f>
        <v>Association Loi 1901 non Reconnue d'Utilité Publique</v>
      </c>
      <c r="Q2080" t="str">
        <f t="shared" si="331"/>
        <v>36</v>
      </c>
      <c r="R2080" t="str">
        <f t="shared" si="332"/>
        <v>Tarifs conventionnels assurance maladie</v>
      </c>
      <c r="U2080" t="str">
        <f>"250019510"</f>
        <v>250019510</v>
      </c>
    </row>
    <row r="2081" spans="1:21" x14ac:dyDescent="0.3">
      <c r="A2081" t="str">
        <f>"130035249"</f>
        <v>130035249</v>
      </c>
      <c r="B2081" t="str">
        <f>"491 743 720 00030"</f>
        <v>491 743 720 00030</v>
      </c>
      <c r="D2081" t="str">
        <f>"BUS HANDIDENT PACA"</f>
        <v>BUS HANDIDENT PACA</v>
      </c>
      <c r="E2081" t="str">
        <f>"HÔP STE MARGUERITE - PAVILLON 9"</f>
        <v>HÔP STE MARGUERITE - PAVILLON 9</v>
      </c>
      <c r="F2081" t="str">
        <f>"270 BOULEVARD SAINTE MARGUERITE"</f>
        <v>270 BOULEVARD SAINTE MARGUERITE</v>
      </c>
      <c r="H2081" t="str">
        <f>"13009"</f>
        <v>13009</v>
      </c>
      <c r="I2081" t="str">
        <f>"MARSEILLE"</f>
        <v>MARSEILLE</v>
      </c>
      <c r="J2081" t="str">
        <f>"04 91 43 07 94 "</f>
        <v xml:space="preserve">04 91 43 07 94 </v>
      </c>
      <c r="L2081" s="1">
        <v>40609</v>
      </c>
      <c r="M2081" t="str">
        <f t="shared" si="333"/>
        <v>124</v>
      </c>
      <c r="N2081" t="str">
        <f t="shared" si="334"/>
        <v>Centre de Santé</v>
      </c>
      <c r="O2081" t="str">
        <f>"61"</f>
        <v>61</v>
      </c>
      <c r="P2081" t="str">
        <f>"Association Loi 1901 Reconnue d'Utilité Publique"</f>
        <v>Association Loi 1901 Reconnue d'Utilité Publique</v>
      </c>
      <c r="Q2081" t="str">
        <f t="shared" si="331"/>
        <v>36</v>
      </c>
      <c r="R2081" t="str">
        <f t="shared" si="332"/>
        <v>Tarifs conventionnels assurance maladie</v>
      </c>
      <c r="U2081" t="str">
        <f>"130035199"</f>
        <v>130035199</v>
      </c>
    </row>
    <row r="2082" spans="1:21" x14ac:dyDescent="0.3">
      <c r="A2082" t="str">
        <f>"390780724"</f>
        <v>390780724</v>
      </c>
      <c r="B2082" t="str">
        <f>"444 645 311 00069"</f>
        <v>444 645 311 00069</v>
      </c>
      <c r="D2082" t="str">
        <f>"CENTRE SANTE SAINT CLAUDE"</f>
        <v>CENTRE SANTE SAINT CLAUDE</v>
      </c>
      <c r="F2082" t="str">
        <f>"17 RUE VOLTAIRE"</f>
        <v>17 RUE VOLTAIRE</v>
      </c>
      <c r="H2082" t="str">
        <f>"39200"</f>
        <v>39200</v>
      </c>
      <c r="I2082" t="str">
        <f>"ST CLAUDE"</f>
        <v>ST CLAUDE</v>
      </c>
      <c r="J2082" t="str">
        <f>"03 84 45 08 65 "</f>
        <v xml:space="preserve">03 84 45 08 65 </v>
      </c>
      <c r="K2082" t="str">
        <f>"03 84 41 07 55"</f>
        <v>03 84 41 07 55</v>
      </c>
      <c r="L2082" s="1">
        <v>40599</v>
      </c>
      <c r="M2082" t="str">
        <f t="shared" si="333"/>
        <v>124</v>
      </c>
      <c r="N2082" t="str">
        <f t="shared" si="334"/>
        <v>Centre de Santé</v>
      </c>
      <c r="O2082" t="str">
        <f>"47"</f>
        <v>47</v>
      </c>
      <c r="P2082" t="str">
        <f>"Société Mutualiste"</f>
        <v>Société Mutualiste</v>
      </c>
      <c r="Q2082" t="str">
        <f t="shared" si="331"/>
        <v>36</v>
      </c>
      <c r="R2082" t="str">
        <f t="shared" si="332"/>
        <v>Tarifs conventionnels assurance maladie</v>
      </c>
      <c r="U2082" t="str">
        <f>"390000255"</f>
        <v>390000255</v>
      </c>
    </row>
    <row r="2083" spans="1:21" x14ac:dyDescent="0.3">
      <c r="A2083" t="str">
        <f>"250002334"</f>
        <v>250002334</v>
      </c>
      <c r="B2083" t="str">
        <f>"778 306 712 00028"</f>
        <v>778 306 712 00028</v>
      </c>
      <c r="D2083" t="str">
        <f>"CTRE SANTE INFIRMIER ADMR DAMPRICHARD"</f>
        <v>CTRE SANTE INFIRMIER ADMR DAMPRICHARD</v>
      </c>
      <c r="F2083" t="str">
        <f>"9 RUE DE L INDUSTRIE"</f>
        <v>9 RUE DE L INDUSTRIE</v>
      </c>
      <c r="H2083" t="str">
        <f>"25450"</f>
        <v>25450</v>
      </c>
      <c r="I2083" t="str">
        <f>"DAMPRICHARD"</f>
        <v>DAMPRICHARD</v>
      </c>
      <c r="J2083" t="str">
        <f>"03 81 44 20 93 "</f>
        <v xml:space="preserve">03 81 44 20 93 </v>
      </c>
      <c r="K2083" t="str">
        <f>"03 81 44 20 93"</f>
        <v>03 81 44 20 93</v>
      </c>
      <c r="L2083" s="1">
        <v>40589</v>
      </c>
      <c r="M2083" t="str">
        <f t="shared" si="333"/>
        <v>124</v>
      </c>
      <c r="N2083" t="str">
        <f t="shared" si="334"/>
        <v>Centre de Santé</v>
      </c>
      <c r="O2083" t="str">
        <f>"60"</f>
        <v>60</v>
      </c>
      <c r="P2083" t="str">
        <f>"Association Loi 1901 non Reconnue d'Utilité Publique"</f>
        <v>Association Loi 1901 non Reconnue d'Utilité Publique</v>
      </c>
      <c r="Q2083" t="str">
        <f t="shared" si="331"/>
        <v>36</v>
      </c>
      <c r="R2083" t="str">
        <f t="shared" si="332"/>
        <v>Tarifs conventionnels assurance maladie</v>
      </c>
      <c r="U2083" t="str">
        <f>"250000841"</f>
        <v>250000841</v>
      </c>
    </row>
    <row r="2084" spans="1:21" x14ac:dyDescent="0.3">
      <c r="A2084" t="str">
        <f>"480780709"</f>
        <v>480780709</v>
      </c>
      <c r="B2084" t="str">
        <f>"310 975 065 00015"</f>
        <v>310 975 065 00015</v>
      </c>
      <c r="D2084" t="str">
        <f>"CDS INFIRMIER MARGERIDE AUBRAC"</f>
        <v>CDS INFIRMIER MARGERIDE AUBRAC</v>
      </c>
      <c r="F2084" t="str">
        <f>"7 RUE DOCTEUR YVES DALLE"</f>
        <v>7 RUE DOCTEUR YVES DALLE</v>
      </c>
      <c r="H2084" t="str">
        <f>"48200"</f>
        <v>48200</v>
      </c>
      <c r="I2084" t="str">
        <f>"ST CHELY D APCHER"</f>
        <v>ST CHELY D APCHER</v>
      </c>
      <c r="J2084" t="str">
        <f>"04 66 31 02 11 "</f>
        <v xml:space="preserve">04 66 31 02 11 </v>
      </c>
      <c r="L2084" s="1">
        <v>40578</v>
      </c>
      <c r="M2084" t="str">
        <f t="shared" si="333"/>
        <v>124</v>
      </c>
      <c r="N2084" t="str">
        <f t="shared" si="334"/>
        <v>Centre de Santé</v>
      </c>
      <c r="O2084" t="str">
        <f>"60"</f>
        <v>60</v>
      </c>
      <c r="P2084" t="str">
        <f>"Association Loi 1901 non Reconnue d'Utilité Publique"</f>
        <v>Association Loi 1901 non Reconnue d'Utilité Publique</v>
      </c>
      <c r="Q2084" t="str">
        <f t="shared" ref="Q2084:Q2147" si="335">"36"</f>
        <v>36</v>
      </c>
      <c r="R2084" t="str">
        <f t="shared" ref="R2084:R2147" si="336">"Tarifs conventionnels assurance maladie"</f>
        <v>Tarifs conventionnels assurance maladie</v>
      </c>
      <c r="U2084" t="str">
        <f>"480000157"</f>
        <v>480000157</v>
      </c>
    </row>
    <row r="2085" spans="1:21" x14ac:dyDescent="0.3">
      <c r="A2085" t="str">
        <f>"690035720"</f>
        <v>690035720</v>
      </c>
      <c r="D2085" t="str">
        <f>"CENTRE DE SANTE DU 4 AOUT"</f>
        <v>CENTRE DE SANTE DU 4 AOUT</v>
      </c>
      <c r="F2085" t="str">
        <f>"132 RUE DU 4 AOÛT"</f>
        <v>132 RUE DU 4 AOÛT</v>
      </c>
      <c r="H2085" t="str">
        <f>"69100"</f>
        <v>69100</v>
      </c>
      <c r="I2085" t="str">
        <f>"VILLEURBANNE"</f>
        <v>VILLEURBANNE</v>
      </c>
      <c r="J2085" t="str">
        <f>"04 78 84 66 23 "</f>
        <v xml:space="preserve">04 78 84 66 23 </v>
      </c>
      <c r="L2085" s="1">
        <v>40577</v>
      </c>
      <c r="M2085" t="str">
        <f t="shared" si="333"/>
        <v>124</v>
      </c>
      <c r="N2085" t="str">
        <f t="shared" si="334"/>
        <v>Centre de Santé</v>
      </c>
      <c r="O2085" t="str">
        <f>"64"</f>
        <v>64</v>
      </c>
      <c r="P2085" t="str">
        <f>"Congrégation"</f>
        <v>Congrégation</v>
      </c>
      <c r="Q2085" t="str">
        <f t="shared" si="335"/>
        <v>36</v>
      </c>
      <c r="R2085" t="str">
        <f t="shared" si="336"/>
        <v>Tarifs conventionnels assurance maladie</v>
      </c>
      <c r="U2085" t="str">
        <f>"690791710"</f>
        <v>690791710</v>
      </c>
    </row>
    <row r="2086" spans="1:21" x14ac:dyDescent="0.3">
      <c r="A2086" t="str">
        <f>"440049344"</f>
        <v>440049344</v>
      </c>
      <c r="B2086" t="str">
        <f>"194 409 843 00019"</f>
        <v>194 409 843 00019</v>
      </c>
      <c r="D2086" t="str">
        <f>"SUMPPS"</f>
        <v>SUMPPS</v>
      </c>
      <c r="F2086" t="str">
        <f>"110 BOULEVARD MICHELET"</f>
        <v>110 BOULEVARD MICHELET</v>
      </c>
      <c r="G2086" t="str">
        <f>"BP 32238"</f>
        <v>BP 32238</v>
      </c>
      <c r="H2086" t="str">
        <f>"44322"</f>
        <v>44322</v>
      </c>
      <c r="I2086" t="str">
        <f>"NANTES CEDEX 3"</f>
        <v>NANTES CEDEX 3</v>
      </c>
      <c r="J2086" t="str">
        <f>"02 40 37 10 50 "</f>
        <v xml:space="preserve">02 40 37 10 50 </v>
      </c>
      <c r="K2086" t="str">
        <f>"02 40 37 10 68"</f>
        <v>02 40 37 10 68</v>
      </c>
      <c r="L2086" s="1">
        <v>40575</v>
      </c>
      <c r="M2086" t="str">
        <f t="shared" si="333"/>
        <v>124</v>
      </c>
      <c r="N2086" t="str">
        <f t="shared" si="334"/>
        <v>Centre de Santé</v>
      </c>
      <c r="O2086" t="str">
        <f>"26"</f>
        <v>26</v>
      </c>
      <c r="P2086" t="str">
        <f>"Autre Etablissement Public à Caractère Administratif"</f>
        <v>Autre Etablissement Public à Caractère Administratif</v>
      </c>
      <c r="Q2086" t="str">
        <f t="shared" si="335"/>
        <v>36</v>
      </c>
      <c r="R2086" t="str">
        <f t="shared" si="336"/>
        <v>Tarifs conventionnels assurance maladie</v>
      </c>
      <c r="U2086" t="str">
        <f>"440042810"</f>
        <v>440042810</v>
      </c>
    </row>
    <row r="2087" spans="1:21" x14ac:dyDescent="0.3">
      <c r="A2087" t="str">
        <f>"340018555"</f>
        <v>340018555</v>
      </c>
      <c r="B2087" t="str">
        <f>"512 611 781 00083"</f>
        <v>512 611 781 00083</v>
      </c>
      <c r="D2087" t="str">
        <f>"CENTRE DE SANTE DENTAIRE BEDARIEUX"</f>
        <v>CENTRE DE SANTE DENTAIRE BEDARIEUX</v>
      </c>
      <c r="F2087" t="str">
        <f>"2 AVENUE DE LA REPUBLIQUE"</f>
        <v>2 AVENUE DE LA REPUBLIQUE</v>
      </c>
      <c r="H2087" t="str">
        <f>"34600"</f>
        <v>34600</v>
      </c>
      <c r="I2087" t="str">
        <f>"BEDARIEUX"</f>
        <v>BEDARIEUX</v>
      </c>
      <c r="J2087" t="str">
        <f>"04 67 23 14 14 "</f>
        <v xml:space="preserve">04 67 23 14 14 </v>
      </c>
      <c r="L2087" s="1">
        <v>40560</v>
      </c>
      <c r="M2087" t="str">
        <f t="shared" si="333"/>
        <v>124</v>
      </c>
      <c r="N2087" t="str">
        <f t="shared" si="334"/>
        <v>Centre de Santé</v>
      </c>
      <c r="O2087" t="str">
        <f>"60"</f>
        <v>60</v>
      </c>
      <c r="P2087" t="str">
        <f>"Association Loi 1901 non Reconnue d'Utilité Publique"</f>
        <v>Association Loi 1901 non Reconnue d'Utilité Publique</v>
      </c>
      <c r="Q2087" t="str">
        <f t="shared" si="335"/>
        <v>36</v>
      </c>
      <c r="R2087" t="str">
        <f t="shared" si="336"/>
        <v>Tarifs conventionnels assurance maladie</v>
      </c>
      <c r="U2087" t="str">
        <f>"840019210"</f>
        <v>840019210</v>
      </c>
    </row>
    <row r="2088" spans="1:21" x14ac:dyDescent="0.3">
      <c r="A2088" t="str">
        <f>"260015300"</f>
        <v>260015300</v>
      </c>
      <c r="B2088" t="str">
        <f>"314 668 518 00017"</f>
        <v>314 668 518 00017</v>
      </c>
      <c r="D2088" t="str">
        <f>"CENTRE DE SANTE SAINT-RAMBERT-D'ALBON"</f>
        <v>CENTRE DE SANTE SAINT-RAMBERT-D'ALBON</v>
      </c>
      <c r="F2088" t="str">
        <f>"1 IMPASSE DES CLAIRES"</f>
        <v>1 IMPASSE DES CLAIRES</v>
      </c>
      <c r="H2088" t="str">
        <f>"26140"</f>
        <v>26140</v>
      </c>
      <c r="I2088" t="str">
        <f>"ST RAMBERT D ALBON"</f>
        <v>ST RAMBERT D ALBON</v>
      </c>
      <c r="J2088" t="str">
        <f>"04 75 31 04 32 "</f>
        <v xml:space="preserve">04 75 31 04 32 </v>
      </c>
      <c r="K2088" t="str">
        <f>"04 75 31 10 81"</f>
        <v>04 75 31 10 81</v>
      </c>
      <c r="L2088" s="1">
        <v>40544</v>
      </c>
      <c r="M2088" t="str">
        <f t="shared" si="333"/>
        <v>124</v>
      </c>
      <c r="N2088" t="str">
        <f t="shared" si="334"/>
        <v>Centre de Santé</v>
      </c>
      <c r="O2088" t="str">
        <f>"60"</f>
        <v>60</v>
      </c>
      <c r="P2088" t="str">
        <f>"Association Loi 1901 non Reconnue d'Utilité Publique"</f>
        <v>Association Loi 1901 non Reconnue d'Utilité Publique</v>
      </c>
      <c r="Q2088" t="str">
        <f t="shared" si="335"/>
        <v>36</v>
      </c>
      <c r="R2088" t="str">
        <f t="shared" si="336"/>
        <v>Tarifs conventionnels assurance maladie</v>
      </c>
      <c r="U2088" t="str">
        <f>"260011234"</f>
        <v>260011234</v>
      </c>
    </row>
    <row r="2089" spans="1:21" x14ac:dyDescent="0.3">
      <c r="A2089" t="str">
        <f>"290033646"</f>
        <v>290033646</v>
      </c>
      <c r="B2089" t="str">
        <f>"395 171 226 00024"</f>
        <v>395 171 226 00024</v>
      </c>
      <c r="D2089" t="str">
        <f>"CDS INFIRMIERS DE ROSPORDEN"</f>
        <v>CDS INFIRMIERS DE ROSPORDEN</v>
      </c>
      <c r="F2089" t="str">
        <f>"4 PLACE DE LA VICTOIRE"</f>
        <v>4 PLACE DE LA VICTOIRE</v>
      </c>
      <c r="H2089" t="str">
        <f>"29140"</f>
        <v>29140</v>
      </c>
      <c r="I2089" t="str">
        <f>"ROSPORDEN"</f>
        <v>ROSPORDEN</v>
      </c>
      <c r="J2089" t="str">
        <f>"02 98 59 26 10 "</f>
        <v xml:space="preserve">02 98 59 26 10 </v>
      </c>
      <c r="K2089" t="str">
        <f>"02 98 66 90 36"</f>
        <v>02 98 66 90 36</v>
      </c>
      <c r="L2089" s="1">
        <v>40544</v>
      </c>
      <c r="M2089" t="str">
        <f t="shared" si="333"/>
        <v>124</v>
      </c>
      <c r="N2089" t="str">
        <f t="shared" si="334"/>
        <v>Centre de Santé</v>
      </c>
      <c r="O2089" t="str">
        <f>"47"</f>
        <v>47</v>
      </c>
      <c r="P2089" t="str">
        <f>"Société Mutualiste"</f>
        <v>Société Mutualiste</v>
      </c>
      <c r="Q2089" t="str">
        <f t="shared" si="335"/>
        <v>36</v>
      </c>
      <c r="R2089" t="str">
        <f t="shared" si="336"/>
        <v>Tarifs conventionnels assurance maladie</v>
      </c>
      <c r="U2089" t="str">
        <f>"560025025"</f>
        <v>560025025</v>
      </c>
    </row>
    <row r="2090" spans="1:21" x14ac:dyDescent="0.3">
      <c r="A2090" t="str">
        <f>"400781076"</f>
        <v>400781076</v>
      </c>
      <c r="B2090" t="str">
        <f>"450 237 243 00024"</f>
        <v>450 237 243 00024</v>
      </c>
      <c r="D2090" t="str">
        <f>"CENTRE DE SOINS INFIRMIERS"</f>
        <v>CENTRE DE SOINS INFIRMIERS</v>
      </c>
      <c r="F2090" t="str">
        <f>"44 ALLEE MARINES"</f>
        <v>44 ALLEE MARINES</v>
      </c>
      <c r="H2090" t="str">
        <f>"40400"</f>
        <v>40400</v>
      </c>
      <c r="I2090" t="str">
        <f>"TARTAS"</f>
        <v>TARTAS</v>
      </c>
      <c r="J2090" t="str">
        <f>"05 58 73 41 95 "</f>
        <v xml:space="preserve">05 58 73 41 95 </v>
      </c>
      <c r="K2090" t="str">
        <f>"05 58 73 41 95"</f>
        <v>05 58 73 41 95</v>
      </c>
      <c r="L2090" s="1">
        <v>40544</v>
      </c>
      <c r="M2090" t="str">
        <f t="shared" si="333"/>
        <v>124</v>
      </c>
      <c r="N2090" t="str">
        <f t="shared" si="334"/>
        <v>Centre de Santé</v>
      </c>
      <c r="O2090" t="str">
        <f>"60"</f>
        <v>60</v>
      </c>
      <c r="P2090" t="str">
        <f>"Association Loi 1901 non Reconnue d'Utilité Publique"</f>
        <v>Association Loi 1901 non Reconnue d'Utilité Publique</v>
      </c>
      <c r="Q2090" t="str">
        <f t="shared" si="335"/>
        <v>36</v>
      </c>
      <c r="R2090" t="str">
        <f t="shared" si="336"/>
        <v>Tarifs conventionnels assurance maladie</v>
      </c>
      <c r="U2090" t="str">
        <f>"400791265"</f>
        <v>400791265</v>
      </c>
    </row>
    <row r="2091" spans="1:21" x14ac:dyDescent="0.3">
      <c r="A2091" t="str">
        <f>"710013236"</f>
        <v>710013236</v>
      </c>
      <c r="D2091" t="str">
        <f>"CENTRE DE SANTE DENTAIRE MUTUALISTE"</f>
        <v>CENTRE DE SANTE DENTAIRE MUTUALISTE</v>
      </c>
      <c r="F2091" t="str">
        <f>"12 PLACE COURS"</f>
        <v>12 PLACE COURS</v>
      </c>
      <c r="H2091" t="str">
        <f>"71110"</f>
        <v>71110</v>
      </c>
      <c r="I2091" t="str">
        <f>"MARCIGNY"</f>
        <v>MARCIGNY</v>
      </c>
      <c r="J2091" t="str">
        <f>"03 85 25 10 15 "</f>
        <v xml:space="preserve">03 85 25 10 15 </v>
      </c>
      <c r="K2091" t="str">
        <f>"03 85 25 10 15"</f>
        <v>03 85 25 10 15</v>
      </c>
      <c r="L2091" s="1">
        <v>40456</v>
      </c>
      <c r="M2091" t="str">
        <f t="shared" si="333"/>
        <v>124</v>
      </c>
      <c r="N2091" t="str">
        <f t="shared" si="334"/>
        <v>Centre de Santé</v>
      </c>
      <c r="O2091" t="str">
        <f>"47"</f>
        <v>47</v>
      </c>
      <c r="P2091" t="str">
        <f>"Société Mutualiste"</f>
        <v>Société Mutualiste</v>
      </c>
      <c r="Q2091" t="str">
        <f t="shared" si="335"/>
        <v>36</v>
      </c>
      <c r="R2091" t="str">
        <f t="shared" si="336"/>
        <v>Tarifs conventionnels assurance maladie</v>
      </c>
      <c r="U2091" t="str">
        <f>"710784109"</f>
        <v>710784109</v>
      </c>
    </row>
    <row r="2092" spans="1:21" x14ac:dyDescent="0.3">
      <c r="A2092" t="str">
        <f>"930023239"</f>
        <v>930023239</v>
      </c>
      <c r="B2092" t="str">
        <f>"219 300 084 00510"</f>
        <v>219 300 084 00510</v>
      </c>
      <c r="D2092" t="str">
        <f>"CDS MEDICAL AIME CESAIRE"</f>
        <v>CDS MEDICAL AIME CESAIRE</v>
      </c>
      <c r="F2092" t="str">
        <f>"26 RUE DE LA FERME"</f>
        <v>26 RUE DE LA FERME</v>
      </c>
      <c r="H2092" t="str">
        <f>"93000"</f>
        <v>93000</v>
      </c>
      <c r="I2092" t="str">
        <f>"BOBIGNY"</f>
        <v>BOBIGNY</v>
      </c>
      <c r="J2092" t="str">
        <f>"01 75 34 30 00 "</f>
        <v xml:space="preserve">01 75 34 30 00 </v>
      </c>
      <c r="K2092" t="str">
        <f>"01 75 34 30 12"</f>
        <v>01 75 34 30 12</v>
      </c>
      <c r="L2092" s="1">
        <v>40420</v>
      </c>
      <c r="M2092" t="str">
        <f t="shared" si="333"/>
        <v>124</v>
      </c>
      <c r="N2092" t="str">
        <f t="shared" si="334"/>
        <v>Centre de Santé</v>
      </c>
      <c r="O2092" t="str">
        <f>"03"</f>
        <v>03</v>
      </c>
      <c r="P2092" t="str">
        <f>"Commune"</f>
        <v>Commune</v>
      </c>
      <c r="Q2092" t="str">
        <f t="shared" si="335"/>
        <v>36</v>
      </c>
      <c r="R2092" t="str">
        <f t="shared" si="336"/>
        <v>Tarifs conventionnels assurance maladie</v>
      </c>
      <c r="U2092" t="str">
        <f>"930812904"</f>
        <v>930812904</v>
      </c>
    </row>
    <row r="2093" spans="1:21" x14ac:dyDescent="0.3">
      <c r="A2093" t="str">
        <f>"750048225"</f>
        <v>750048225</v>
      </c>
      <c r="D2093" t="str">
        <f>"CDS DENTAIRE MANIN"</f>
        <v>CDS DENTAIRE MANIN</v>
      </c>
      <c r="F2093" t="str">
        <f>"147 RUE MANIN"</f>
        <v>147 RUE MANIN</v>
      </c>
      <c r="H2093" t="str">
        <f>"75019"</f>
        <v>75019</v>
      </c>
      <c r="I2093" t="str">
        <f>"PARIS"</f>
        <v>PARIS</v>
      </c>
      <c r="J2093" t="str">
        <f>"01 42 00 07 59 "</f>
        <v xml:space="preserve">01 42 00 07 59 </v>
      </c>
      <c r="L2093" s="1">
        <v>40392</v>
      </c>
      <c r="M2093" t="str">
        <f t="shared" si="333"/>
        <v>124</v>
      </c>
      <c r="N2093" t="str">
        <f t="shared" si="334"/>
        <v>Centre de Santé</v>
      </c>
      <c r="O2093" t="str">
        <f>"61"</f>
        <v>61</v>
      </c>
      <c r="P2093" t="str">
        <f>"Association Loi 1901 Reconnue d'Utilité Publique"</f>
        <v>Association Loi 1901 Reconnue d'Utilité Publique</v>
      </c>
      <c r="Q2093" t="str">
        <f t="shared" si="335"/>
        <v>36</v>
      </c>
      <c r="R2093" t="str">
        <f t="shared" si="336"/>
        <v>Tarifs conventionnels assurance maladie</v>
      </c>
      <c r="U2093" t="str">
        <f>"750048217"</f>
        <v>750048217</v>
      </c>
    </row>
    <row r="2094" spans="1:21" x14ac:dyDescent="0.3">
      <c r="A2094" t="str">
        <f>"170022750"</f>
        <v>170022750</v>
      </c>
      <c r="B2094" t="str">
        <f>"328 387 022 00085"</f>
        <v>328 387 022 00085</v>
      </c>
      <c r="D2094" t="str">
        <f>"CENTRE DE SANTE - ADA 17"</f>
        <v>CENTRE DE SANTE - ADA 17</v>
      </c>
      <c r="F2094" t="str">
        <f>"6 RUE ALEXANDER FLEMING"</f>
        <v>6 RUE ALEXANDER FLEMING</v>
      </c>
      <c r="G2094" t="str">
        <f>"LES MINIMES"</f>
        <v>LES MINIMES</v>
      </c>
      <c r="H2094" t="str">
        <f>"17001"</f>
        <v>17001</v>
      </c>
      <c r="I2094" t="str">
        <f>"LA ROCHELLE CEDEX 1"</f>
        <v>LA ROCHELLE CEDEX 1</v>
      </c>
      <c r="J2094" t="str">
        <f>"05 46 43 22 40 "</f>
        <v xml:space="preserve">05 46 43 22 40 </v>
      </c>
      <c r="K2094" t="str">
        <f>"05 46 43 20 92"</f>
        <v>05 46 43 20 92</v>
      </c>
      <c r="L2094" s="1">
        <v>40315</v>
      </c>
      <c r="M2094" t="str">
        <f t="shared" si="333"/>
        <v>124</v>
      </c>
      <c r="N2094" t="str">
        <f t="shared" si="334"/>
        <v>Centre de Santé</v>
      </c>
      <c r="O2094" t="str">
        <f>"60"</f>
        <v>60</v>
      </c>
      <c r="P2094" t="str">
        <f>"Association Loi 1901 non Reconnue d'Utilité Publique"</f>
        <v>Association Loi 1901 non Reconnue d'Utilité Publique</v>
      </c>
      <c r="Q2094" t="str">
        <f t="shared" si="335"/>
        <v>36</v>
      </c>
      <c r="R2094" t="str">
        <f t="shared" si="336"/>
        <v>Tarifs conventionnels assurance maladie</v>
      </c>
      <c r="U2094" t="str">
        <f>"170000988"</f>
        <v>170000988</v>
      </c>
    </row>
    <row r="2095" spans="1:21" x14ac:dyDescent="0.3">
      <c r="A2095" t="str">
        <f>"420012593"</f>
        <v>420012593</v>
      </c>
      <c r="D2095" t="str">
        <f>"CENTRE DE SANTE ARTIC 42 ST-PRIEST"</f>
        <v>CENTRE DE SANTE ARTIC 42 ST-PRIEST</v>
      </c>
      <c r="F2095" t="str">
        <f>"18 RUE CHARLES DE GAULLE"</f>
        <v>18 RUE CHARLES DE GAULLE</v>
      </c>
      <c r="H2095" t="str">
        <f>"42270"</f>
        <v>42270</v>
      </c>
      <c r="I2095" t="str">
        <f>"ST PRIEST EN JAREZ"</f>
        <v>ST PRIEST EN JAREZ</v>
      </c>
      <c r="J2095" t="str">
        <f>"04 77 91 03 86 "</f>
        <v xml:space="preserve">04 77 91 03 86 </v>
      </c>
      <c r="K2095" t="str">
        <f>"04 77 91 03 87"</f>
        <v>04 77 91 03 87</v>
      </c>
      <c r="L2095" s="1">
        <v>40309</v>
      </c>
      <c r="M2095" t="str">
        <f t="shared" si="333"/>
        <v>124</v>
      </c>
      <c r="N2095" t="str">
        <f t="shared" si="334"/>
        <v>Centre de Santé</v>
      </c>
      <c r="O2095" t="str">
        <f>"60"</f>
        <v>60</v>
      </c>
      <c r="P2095" t="str">
        <f>"Association Loi 1901 non Reconnue d'Utilité Publique"</f>
        <v>Association Loi 1901 non Reconnue d'Utilité Publique</v>
      </c>
      <c r="Q2095" t="str">
        <f t="shared" si="335"/>
        <v>36</v>
      </c>
      <c r="R2095" t="str">
        <f t="shared" si="336"/>
        <v>Tarifs conventionnels assurance maladie</v>
      </c>
      <c r="U2095" t="str">
        <f>"420001752"</f>
        <v>420001752</v>
      </c>
    </row>
    <row r="2096" spans="1:21" x14ac:dyDescent="0.3">
      <c r="A2096" t="str">
        <f>"620111336"</f>
        <v>620111336</v>
      </c>
      <c r="D2096" t="str">
        <f>"CENTRE DE SANTÉ DENTAIRE OUTREAU"</f>
        <v>CENTRE DE SANTÉ DENTAIRE OUTREAU</v>
      </c>
      <c r="F2096" t="str">
        <f>"19 RUE DE L'EGALITE"</f>
        <v>19 RUE DE L'EGALITE</v>
      </c>
      <c r="H2096" t="str">
        <f>"62230"</f>
        <v>62230</v>
      </c>
      <c r="I2096" t="str">
        <f>"OUTREAU"</f>
        <v>OUTREAU</v>
      </c>
      <c r="J2096" t="str">
        <f>"03 21 99 72 42 "</f>
        <v xml:space="preserve">03 21 99 72 42 </v>
      </c>
      <c r="L2096" s="1">
        <v>40303</v>
      </c>
      <c r="M2096" t="str">
        <f t="shared" si="333"/>
        <v>124</v>
      </c>
      <c r="N2096" t="str">
        <f t="shared" si="334"/>
        <v>Centre de Santé</v>
      </c>
      <c r="O2096" t="str">
        <f>"47"</f>
        <v>47</v>
      </c>
      <c r="P2096" t="str">
        <f>"Société Mutualiste"</f>
        <v>Société Mutualiste</v>
      </c>
      <c r="Q2096" t="str">
        <f t="shared" si="335"/>
        <v>36</v>
      </c>
      <c r="R2096" t="str">
        <f t="shared" si="336"/>
        <v>Tarifs conventionnels assurance maladie</v>
      </c>
      <c r="U2096" t="str">
        <f>"590024469"</f>
        <v>590024469</v>
      </c>
    </row>
    <row r="2097" spans="1:21" x14ac:dyDescent="0.3">
      <c r="A2097" t="str">
        <f>"950011239"</f>
        <v>950011239</v>
      </c>
      <c r="B2097" t="str">
        <f>"511 811 754 00015"</f>
        <v>511 811 754 00015</v>
      </c>
      <c r="D2097" t="str">
        <f>"CDS DENTAIRE VAL DE FRANCE"</f>
        <v>CDS DENTAIRE VAL DE FRANCE</v>
      </c>
      <c r="F2097" t="str">
        <f>"8 AVENUE DU 8 MAI 1945"</f>
        <v>8 AVENUE DU 8 MAI 1945</v>
      </c>
      <c r="G2097" t="str">
        <f>"BP 90014"</f>
        <v>BP 90014</v>
      </c>
      <c r="H2097" t="str">
        <f>"95203"</f>
        <v>95203</v>
      </c>
      <c r="I2097" t="str">
        <f>"SARCELLES CEDEX"</f>
        <v>SARCELLES CEDEX</v>
      </c>
      <c r="L2097" s="1">
        <v>40259</v>
      </c>
      <c r="M2097" t="str">
        <f t="shared" si="333"/>
        <v>124</v>
      </c>
      <c r="N2097" t="str">
        <f t="shared" si="334"/>
        <v>Centre de Santé</v>
      </c>
      <c r="O2097" t="str">
        <f>"60"</f>
        <v>60</v>
      </c>
      <c r="P2097" t="str">
        <f>"Association Loi 1901 non Reconnue d'Utilité Publique"</f>
        <v>Association Loi 1901 non Reconnue d'Utilité Publique</v>
      </c>
      <c r="Q2097" t="str">
        <f t="shared" si="335"/>
        <v>36</v>
      </c>
      <c r="R2097" t="str">
        <f t="shared" si="336"/>
        <v>Tarifs conventionnels assurance maladie</v>
      </c>
      <c r="U2097" t="str">
        <f>"950011189"</f>
        <v>950011189</v>
      </c>
    </row>
    <row r="2098" spans="1:21" x14ac:dyDescent="0.3">
      <c r="A2098" t="str">
        <f>"130035298"</f>
        <v>130035298</v>
      </c>
      <c r="D2098" t="str">
        <f>"CDS DENTAIRE OXANCE GARDANNE"</f>
        <v>CDS DENTAIRE OXANCE GARDANNE</v>
      </c>
      <c r="F2098" t="str">
        <f>"384 AVENUE DE TOULON"</f>
        <v>384 AVENUE DE TOULON</v>
      </c>
      <c r="H2098" t="str">
        <f>"13120"</f>
        <v>13120</v>
      </c>
      <c r="I2098" t="str">
        <f>"GARDANNE"</f>
        <v>GARDANNE</v>
      </c>
      <c r="L2098" s="1">
        <v>40253</v>
      </c>
      <c r="M2098" t="str">
        <f t="shared" si="333"/>
        <v>124</v>
      </c>
      <c r="N2098" t="str">
        <f t="shared" si="334"/>
        <v>Centre de Santé</v>
      </c>
      <c r="O2098" t="str">
        <f>"47"</f>
        <v>47</v>
      </c>
      <c r="P2098" t="str">
        <f>"Société Mutualiste"</f>
        <v>Société Mutualiste</v>
      </c>
      <c r="Q2098" t="str">
        <f t="shared" si="335"/>
        <v>36</v>
      </c>
      <c r="R2098" t="str">
        <f t="shared" si="336"/>
        <v>Tarifs conventionnels assurance maladie</v>
      </c>
      <c r="U2098" t="str">
        <f>"690048111"</f>
        <v>690048111</v>
      </c>
    </row>
    <row r="2099" spans="1:21" x14ac:dyDescent="0.3">
      <c r="A2099" t="str">
        <f>"590048377"</f>
        <v>590048377</v>
      </c>
      <c r="D2099" t="str">
        <f>"CENTRE DE SANTE DES ÉTUDIANTS"</f>
        <v>CENTRE DE SANTE DES ÉTUDIANTS</v>
      </c>
      <c r="F2099" t="str">
        <f>"125 BOULEVARD D'ALSACE"</f>
        <v>125 BOULEVARD D'ALSACE</v>
      </c>
      <c r="H2099" t="str">
        <f>"59000"</f>
        <v>59000</v>
      </c>
      <c r="I2099" t="str">
        <f>"LILLE"</f>
        <v>LILLE</v>
      </c>
      <c r="J2099" t="str">
        <f>"03 62 26 93 00 "</f>
        <v xml:space="preserve">03 62 26 93 00 </v>
      </c>
      <c r="L2099" s="1">
        <v>40235</v>
      </c>
      <c r="M2099" t="str">
        <f t="shared" si="333"/>
        <v>124</v>
      </c>
      <c r="N2099" t="str">
        <f t="shared" si="334"/>
        <v>Centre de Santé</v>
      </c>
      <c r="O2099" t="str">
        <f>"26"</f>
        <v>26</v>
      </c>
      <c r="P2099" t="str">
        <f>"Autre Etablissement Public à Caractère Administratif"</f>
        <v>Autre Etablissement Public à Caractère Administratif</v>
      </c>
      <c r="Q2099" t="str">
        <f t="shared" si="335"/>
        <v>36</v>
      </c>
      <c r="R2099" t="str">
        <f t="shared" si="336"/>
        <v>Tarifs conventionnels assurance maladie</v>
      </c>
      <c r="U2099" t="str">
        <f>"590006904"</f>
        <v>590006904</v>
      </c>
    </row>
    <row r="2100" spans="1:21" x14ac:dyDescent="0.3">
      <c r="A2100" t="str">
        <f>"220020861"</f>
        <v>220020861</v>
      </c>
      <c r="B2100" t="str">
        <f>"519 033 989 00178"</f>
        <v>519 033 989 00178</v>
      </c>
      <c r="D2100" t="str">
        <f>"CDS DENTAIRE MUTUALISTE DINAN"</f>
        <v>CDS DENTAIRE MUTUALISTE DINAN</v>
      </c>
      <c r="F2100" t="str">
        <f>"9 PLACE DUCLOS"</f>
        <v>9 PLACE DUCLOS</v>
      </c>
      <c r="G2100" t="str">
        <f>"RESIDENCE LE CELTIC"</f>
        <v>RESIDENCE LE CELTIC</v>
      </c>
      <c r="H2100" t="str">
        <f>"22100"</f>
        <v>22100</v>
      </c>
      <c r="I2100" t="str">
        <f>"DINAN"</f>
        <v>DINAN</v>
      </c>
      <c r="J2100" t="str">
        <f>"02 96 88 75 78 "</f>
        <v xml:space="preserve">02 96 88 75 78 </v>
      </c>
      <c r="K2100" t="str">
        <f>"02 96 88 75 81"</f>
        <v>02 96 88 75 81</v>
      </c>
      <c r="L2100" s="1">
        <v>40224</v>
      </c>
      <c r="M2100" t="str">
        <f t="shared" si="333"/>
        <v>124</v>
      </c>
      <c r="N2100" t="str">
        <f t="shared" si="334"/>
        <v>Centre de Santé</v>
      </c>
      <c r="O2100" t="str">
        <f>"47"</f>
        <v>47</v>
      </c>
      <c r="P2100" t="str">
        <f>"Société Mutualiste"</f>
        <v>Société Mutualiste</v>
      </c>
      <c r="Q2100" t="str">
        <f t="shared" si="335"/>
        <v>36</v>
      </c>
      <c r="R2100" t="str">
        <f t="shared" si="336"/>
        <v>Tarifs conventionnels assurance maladie</v>
      </c>
      <c r="U2100" t="str">
        <f>"560030710"</f>
        <v>560030710</v>
      </c>
    </row>
    <row r="2101" spans="1:21" x14ac:dyDescent="0.3">
      <c r="A2101" t="str">
        <f>"930022611"</f>
        <v>930022611</v>
      </c>
      <c r="B2101" t="str">
        <f>"510 167 588 00035"</f>
        <v>510 167 588 00035</v>
      </c>
      <c r="D2101" t="str">
        <f>"CDS DENTAIRE DES 4 CHEMINS"</f>
        <v>CDS DENTAIRE DES 4 CHEMINS</v>
      </c>
      <c r="F2101" t="str">
        <f>"85 AVENUE DE LA REPUBLIQUE"</f>
        <v>85 AVENUE DE LA REPUBLIQUE</v>
      </c>
      <c r="H2101" t="str">
        <f>"93300"</f>
        <v>93300</v>
      </c>
      <c r="I2101" t="str">
        <f>"AUBERVILLIERS"</f>
        <v>AUBERVILLIERS</v>
      </c>
      <c r="J2101" t="str">
        <f>"06 77 62 52 13 "</f>
        <v xml:space="preserve">06 77 62 52 13 </v>
      </c>
      <c r="L2101" s="1">
        <v>40213</v>
      </c>
      <c r="M2101" t="str">
        <f t="shared" si="333"/>
        <v>124</v>
      </c>
      <c r="N2101" t="str">
        <f t="shared" si="334"/>
        <v>Centre de Santé</v>
      </c>
      <c r="O2101" t="str">
        <f>"60"</f>
        <v>60</v>
      </c>
      <c r="P2101" t="str">
        <f>"Association Loi 1901 non Reconnue d'Utilité Publique"</f>
        <v>Association Loi 1901 non Reconnue d'Utilité Publique</v>
      </c>
      <c r="Q2101" t="str">
        <f t="shared" si="335"/>
        <v>36</v>
      </c>
      <c r="R2101" t="str">
        <f t="shared" si="336"/>
        <v>Tarifs conventionnels assurance maladie</v>
      </c>
      <c r="U2101" t="str">
        <f>"750044950"</f>
        <v>750044950</v>
      </c>
    </row>
    <row r="2102" spans="1:21" x14ac:dyDescent="0.3">
      <c r="A2102" t="str">
        <f>"680018777"</f>
        <v>680018777</v>
      </c>
      <c r="B2102" t="str">
        <f>"434 111 126 00232"</f>
        <v>434 111 126 00232</v>
      </c>
      <c r="D2102" t="str">
        <f>"CENTRE DE SANTE DENTAIRE"</f>
        <v>CENTRE DE SANTE DENTAIRE</v>
      </c>
      <c r="F2102" t="str">
        <f>"122 RUE DE LA 1ÈRE ARMÉE"</f>
        <v>122 RUE DE LA 1ÈRE ARMÉE</v>
      </c>
      <c r="H2102" t="str">
        <f>"68800"</f>
        <v>68800</v>
      </c>
      <c r="I2102" t="str">
        <f>"THANN"</f>
        <v>THANN</v>
      </c>
      <c r="J2102" t="str">
        <f>"03 68 75 00 10 "</f>
        <v xml:space="preserve">03 68 75 00 10 </v>
      </c>
      <c r="K2102" t="str">
        <f>"03 68 75 00 19"</f>
        <v>03 68 75 00 19</v>
      </c>
      <c r="L2102" s="1">
        <v>40211</v>
      </c>
      <c r="M2102" t="str">
        <f t="shared" si="333"/>
        <v>124</v>
      </c>
      <c r="N2102" t="str">
        <f t="shared" si="334"/>
        <v>Centre de Santé</v>
      </c>
      <c r="O2102" t="str">
        <f>"47"</f>
        <v>47</v>
      </c>
      <c r="P2102" t="str">
        <f>"Société Mutualiste"</f>
        <v>Société Mutualiste</v>
      </c>
      <c r="Q2102" t="str">
        <f t="shared" si="335"/>
        <v>36</v>
      </c>
      <c r="R2102" t="str">
        <f t="shared" si="336"/>
        <v>Tarifs conventionnels assurance maladie</v>
      </c>
      <c r="U2102" t="str">
        <f>"670010339"</f>
        <v>670010339</v>
      </c>
    </row>
    <row r="2103" spans="1:21" x14ac:dyDescent="0.3">
      <c r="A2103" t="str">
        <f>"590048369"</f>
        <v>590048369</v>
      </c>
      <c r="B2103" t="str">
        <f>"130 023 583 00011"</f>
        <v>130 023 583 00011</v>
      </c>
      <c r="D2103" t="str">
        <f>"CENTRE DE SANTE DES ÉTUDIANTS"</f>
        <v>CENTRE DE SANTE DES ÉTUDIANTS</v>
      </c>
      <c r="E2103" t="str">
        <f>"MAISON DE L'ETUDIANT BAT A"</f>
        <v>MAISON DE L'ETUDIANT BAT A</v>
      </c>
      <c r="F2103" t="str">
        <f>"RUE DU BARREAU"</f>
        <v>RUE DU BARREAU</v>
      </c>
      <c r="H2103" t="str">
        <f>"59650"</f>
        <v>59650</v>
      </c>
      <c r="I2103" t="str">
        <f>"VILLENEUVE D ASCQ"</f>
        <v>VILLENEUVE D ASCQ</v>
      </c>
      <c r="J2103" t="str">
        <f>"03 62 26 93 00 "</f>
        <v xml:space="preserve">03 62 26 93 00 </v>
      </c>
      <c r="L2103" s="1">
        <v>40183</v>
      </c>
      <c r="M2103" t="str">
        <f t="shared" si="333"/>
        <v>124</v>
      </c>
      <c r="N2103" t="str">
        <f t="shared" si="334"/>
        <v>Centre de Santé</v>
      </c>
      <c r="O2103" t="str">
        <f>"26"</f>
        <v>26</v>
      </c>
      <c r="P2103" t="str">
        <f>"Autre Etablissement Public à Caractère Administratif"</f>
        <v>Autre Etablissement Public à Caractère Administratif</v>
      </c>
      <c r="Q2103" t="str">
        <f t="shared" si="335"/>
        <v>36</v>
      </c>
      <c r="R2103" t="str">
        <f t="shared" si="336"/>
        <v>Tarifs conventionnels assurance maladie</v>
      </c>
      <c r="U2103" t="str">
        <f>"590006904"</f>
        <v>590006904</v>
      </c>
    </row>
    <row r="2104" spans="1:21" x14ac:dyDescent="0.3">
      <c r="A2104" t="str">
        <f>"290032267"</f>
        <v>290032267</v>
      </c>
      <c r="B2104" t="str">
        <f>"192 903 466 00014"</f>
        <v>192 903 466 00014</v>
      </c>
      <c r="D2104" t="str">
        <f>"CDS DE L'UBO"</f>
        <v>CDS DE L'UBO</v>
      </c>
      <c r="F2104" t="str">
        <f>"13 RUE DE LANREDEC"</f>
        <v>13 RUE DE LANREDEC</v>
      </c>
      <c r="G2104" t="str">
        <f>"CS 93837"</f>
        <v>CS 93837</v>
      </c>
      <c r="H2104" t="str">
        <f>"29238"</f>
        <v>29238</v>
      </c>
      <c r="I2104" t="str">
        <f>"BREST CEDEX 2"</f>
        <v>BREST CEDEX 2</v>
      </c>
      <c r="J2104" t="str">
        <f>"02 98 01 82 88 "</f>
        <v xml:space="preserve">02 98 01 82 88 </v>
      </c>
      <c r="L2104" s="1">
        <v>40179</v>
      </c>
      <c r="M2104" t="str">
        <f t="shared" si="333"/>
        <v>124</v>
      </c>
      <c r="N2104" t="str">
        <f t="shared" si="334"/>
        <v>Centre de Santé</v>
      </c>
      <c r="O2104" t="str">
        <f>"26"</f>
        <v>26</v>
      </c>
      <c r="P2104" t="str">
        <f>"Autre Etablissement Public à Caractère Administratif"</f>
        <v>Autre Etablissement Public à Caractère Administratif</v>
      </c>
      <c r="Q2104" t="str">
        <f t="shared" si="335"/>
        <v>36</v>
      </c>
      <c r="R2104" t="str">
        <f t="shared" si="336"/>
        <v>Tarifs conventionnels assurance maladie</v>
      </c>
      <c r="U2104" t="str">
        <f>"290032259"</f>
        <v>290032259</v>
      </c>
    </row>
    <row r="2105" spans="1:21" x14ac:dyDescent="0.3">
      <c r="A2105" t="str">
        <f>"350047015"</f>
        <v>350047015</v>
      </c>
      <c r="B2105" t="str">
        <f>"193 509 361 00500"</f>
        <v>193 509 361 00500</v>
      </c>
      <c r="D2105" t="str">
        <f>"CDS DES UNIVERSITES RENNES"</f>
        <v>CDS DES UNIVERSITES RENNES</v>
      </c>
      <c r="E2105" t="str">
        <f>"CAMPUS BEAULIEU BATIMENT 21"</f>
        <v>CAMPUS BEAULIEU BATIMENT 21</v>
      </c>
      <c r="F2105" t="str">
        <f>"263 AVENUE GENERAL LECLERC"</f>
        <v>263 AVENUE GENERAL LECLERC</v>
      </c>
      <c r="H2105" t="str">
        <f>"35042"</f>
        <v>35042</v>
      </c>
      <c r="I2105" t="str">
        <f>"RENNES CEDEX"</f>
        <v>RENNES CEDEX</v>
      </c>
      <c r="J2105" t="str">
        <f>"02 23 23 55 05 "</f>
        <v xml:space="preserve">02 23 23 55 05 </v>
      </c>
      <c r="K2105" t="str">
        <f>"02 23 23 55 04"</f>
        <v>02 23 23 55 04</v>
      </c>
      <c r="L2105" s="1">
        <v>40179</v>
      </c>
      <c r="M2105" t="str">
        <f t="shared" si="333"/>
        <v>124</v>
      </c>
      <c r="N2105" t="str">
        <f t="shared" si="334"/>
        <v>Centre de Santé</v>
      </c>
      <c r="O2105" t="str">
        <f>"26"</f>
        <v>26</v>
      </c>
      <c r="P2105" t="str">
        <f>"Autre Etablissement Public à Caractère Administratif"</f>
        <v>Autre Etablissement Public à Caractère Administratif</v>
      </c>
      <c r="Q2105" t="str">
        <f t="shared" si="335"/>
        <v>36</v>
      </c>
      <c r="R2105" t="str">
        <f t="shared" si="336"/>
        <v>Tarifs conventionnels assurance maladie</v>
      </c>
      <c r="U2105" t="str">
        <f>"350047007"</f>
        <v>350047007</v>
      </c>
    </row>
    <row r="2106" spans="1:21" x14ac:dyDescent="0.3">
      <c r="A2106" t="str">
        <f>"380001669"</f>
        <v>380001669</v>
      </c>
      <c r="B2106" t="str">
        <f>"453 611 691 00032"</f>
        <v>453 611 691 00032</v>
      </c>
      <c r="D2106" t="str">
        <f>"CENTRE DE SANTE ADMR BOURG D'OISANS"</f>
        <v>CENTRE DE SANTE ADMR BOURG D'OISANS</v>
      </c>
      <c r="F2106" t="str">
        <f>"AVENUE JEAN BAPTISTE GAUTHIER"</f>
        <v>AVENUE JEAN BAPTISTE GAUTHIER</v>
      </c>
      <c r="H2106" t="str">
        <f>"38520"</f>
        <v>38520</v>
      </c>
      <c r="I2106" t="str">
        <f>"LE BOURG D OISANS"</f>
        <v>LE BOURG D OISANS</v>
      </c>
      <c r="J2106" t="str">
        <f>"07 76 11 38 98 "</f>
        <v xml:space="preserve">07 76 11 38 98 </v>
      </c>
      <c r="L2106" s="1">
        <v>40179</v>
      </c>
      <c r="M2106" t="str">
        <f t="shared" si="333"/>
        <v>124</v>
      </c>
      <c r="N2106" t="str">
        <f t="shared" si="334"/>
        <v>Centre de Santé</v>
      </c>
      <c r="O2106" t="str">
        <f>"60"</f>
        <v>60</v>
      </c>
      <c r="P2106" t="str">
        <f>"Association Loi 1901 non Reconnue d'Utilité Publique"</f>
        <v>Association Loi 1901 non Reconnue d'Utilité Publique</v>
      </c>
      <c r="Q2106" t="str">
        <f t="shared" si="335"/>
        <v>36</v>
      </c>
      <c r="R2106" t="str">
        <f t="shared" si="336"/>
        <v>Tarifs conventionnels assurance maladie</v>
      </c>
      <c r="U2106" t="str">
        <f>"380001628"</f>
        <v>380001628</v>
      </c>
    </row>
    <row r="2107" spans="1:21" x14ac:dyDescent="0.3">
      <c r="A2107" t="str">
        <f>"420792343"</f>
        <v>420792343</v>
      </c>
      <c r="B2107" t="str">
        <f>"514 316 934 00033"</f>
        <v>514 316 934 00033</v>
      </c>
      <c r="D2107" t="str">
        <f>"CENTRE DE SANTE CPAM 42 ROANNE"</f>
        <v>CENTRE DE SANTE CPAM 42 ROANNE</v>
      </c>
      <c r="F2107" t="str">
        <f>"26 PLACE DES PROMENADES"</f>
        <v>26 PLACE DES PROMENADES</v>
      </c>
      <c r="G2107" t="str">
        <f>"POPULLE"</f>
        <v>POPULLE</v>
      </c>
      <c r="H2107" t="str">
        <f>"42300"</f>
        <v>42300</v>
      </c>
      <c r="I2107" t="str">
        <f>"ROANNE"</f>
        <v>ROANNE</v>
      </c>
      <c r="J2107" t="str">
        <f>"04 77 44 40 64 "</f>
        <v xml:space="preserve">04 77 44 40 64 </v>
      </c>
      <c r="K2107" t="str">
        <f>"04 77 44 40 95"</f>
        <v>04 77 44 40 95</v>
      </c>
      <c r="L2107" s="1">
        <v>40179</v>
      </c>
      <c r="M2107" t="str">
        <f t="shared" si="333"/>
        <v>124</v>
      </c>
      <c r="N2107" t="str">
        <f t="shared" si="334"/>
        <v>Centre de Santé</v>
      </c>
      <c r="O2107" t="str">
        <f>"40"</f>
        <v>40</v>
      </c>
      <c r="P2107" t="str">
        <f>"Régime Général de Sécurité Sociale"</f>
        <v>Régime Général de Sécurité Sociale</v>
      </c>
      <c r="Q2107" t="str">
        <f t="shared" si="335"/>
        <v>36</v>
      </c>
      <c r="R2107" t="str">
        <f t="shared" si="336"/>
        <v>Tarifs conventionnels assurance maladie</v>
      </c>
      <c r="U2107" t="str">
        <f>"420788341"</f>
        <v>420788341</v>
      </c>
    </row>
    <row r="2108" spans="1:21" x14ac:dyDescent="0.3">
      <c r="A2108" t="str">
        <f>"420792400"</f>
        <v>420792400</v>
      </c>
      <c r="B2108" t="str">
        <f>"514 316 934 00082"</f>
        <v>514 316 934 00082</v>
      </c>
      <c r="D2108" t="str">
        <f>"CENTRE DE SANTE CPAM 42 SAINT-ETIENNE"</f>
        <v>CENTRE DE SANTE CPAM 42 SAINT-ETIENNE</v>
      </c>
      <c r="F2108" t="str">
        <f>"5 PARVIS PIERRE LAROQUE"</f>
        <v>5 PARVIS PIERRE LAROQUE</v>
      </c>
      <c r="H2108" t="str">
        <f>"42000"</f>
        <v>42000</v>
      </c>
      <c r="I2108" t="str">
        <f>"ST ETIENNE"</f>
        <v>ST ETIENNE</v>
      </c>
      <c r="J2108" t="str">
        <f>"04 27 40 63 97 "</f>
        <v xml:space="preserve">04 27 40 63 97 </v>
      </c>
      <c r="L2108" s="1">
        <v>40179</v>
      </c>
      <c r="M2108" t="str">
        <f t="shared" si="333"/>
        <v>124</v>
      </c>
      <c r="N2108" t="str">
        <f t="shared" si="334"/>
        <v>Centre de Santé</v>
      </c>
      <c r="O2108" t="str">
        <f>"40"</f>
        <v>40</v>
      </c>
      <c r="P2108" t="str">
        <f>"Régime Général de Sécurité Sociale"</f>
        <v>Régime Général de Sécurité Sociale</v>
      </c>
      <c r="Q2108" t="str">
        <f t="shared" si="335"/>
        <v>36</v>
      </c>
      <c r="R2108" t="str">
        <f t="shared" si="336"/>
        <v>Tarifs conventionnels assurance maladie</v>
      </c>
      <c r="U2108" t="str">
        <f>"420788341"</f>
        <v>420788341</v>
      </c>
    </row>
    <row r="2109" spans="1:21" x14ac:dyDescent="0.3">
      <c r="A2109" t="str">
        <f>"690791876"</f>
        <v>690791876</v>
      </c>
      <c r="B2109" t="str">
        <f>"517 465 928 00102"</f>
        <v>517 465 928 00102</v>
      </c>
      <c r="D2109" t="str">
        <f>"CENTRE DE SANTE DENTAIRE VERDUN"</f>
        <v>CENTRE DE SANTE DENTAIRE VERDUN</v>
      </c>
      <c r="F2109" t="str">
        <f>"27 COURS DE VERDUN"</f>
        <v>27 COURS DE VERDUN</v>
      </c>
      <c r="H2109" t="str">
        <f>"69002"</f>
        <v>69002</v>
      </c>
      <c r="I2109" t="str">
        <f>"LYON"</f>
        <v>LYON</v>
      </c>
      <c r="J2109" t="str">
        <f>"04 72 65 52 09 "</f>
        <v xml:space="preserve">04 72 65 52 09 </v>
      </c>
      <c r="L2109" s="1">
        <v>40179</v>
      </c>
      <c r="M2109" t="str">
        <f t="shared" si="333"/>
        <v>124</v>
      </c>
      <c r="N2109" t="str">
        <f t="shared" si="334"/>
        <v>Centre de Santé</v>
      </c>
      <c r="O2109" t="str">
        <f>"40"</f>
        <v>40</v>
      </c>
      <c r="P2109" t="str">
        <f>"Régime Général de Sécurité Sociale"</f>
        <v>Régime Général de Sécurité Sociale</v>
      </c>
      <c r="Q2109" t="str">
        <f t="shared" si="335"/>
        <v>36</v>
      </c>
      <c r="R2109" t="str">
        <f t="shared" si="336"/>
        <v>Tarifs conventionnels assurance maladie</v>
      </c>
      <c r="U2109" t="str">
        <f>"690797006"</f>
        <v>690797006</v>
      </c>
    </row>
    <row r="2110" spans="1:21" x14ac:dyDescent="0.3">
      <c r="A2110" t="str">
        <f>"690806021"</f>
        <v>690806021</v>
      </c>
      <c r="B2110" t="str">
        <f>"517 465 928 00029"</f>
        <v>517 465 928 00029</v>
      </c>
      <c r="D2110" t="str">
        <f>"CENTRE DE SANTE BONNEFOI"</f>
        <v>CENTRE DE SANTE BONNEFOI</v>
      </c>
      <c r="F2110" t="str">
        <f>"7 RUE BONNEFOI"</f>
        <v>7 RUE BONNEFOI</v>
      </c>
      <c r="H2110" t="str">
        <f>"69003"</f>
        <v>69003</v>
      </c>
      <c r="I2110" t="str">
        <f>"LYON"</f>
        <v>LYON</v>
      </c>
      <c r="J2110" t="str">
        <f>"04 27 82 83 80 "</f>
        <v xml:space="preserve">04 27 82 83 80 </v>
      </c>
      <c r="L2110" s="1">
        <v>40179</v>
      </c>
      <c r="M2110" t="str">
        <f t="shared" si="333"/>
        <v>124</v>
      </c>
      <c r="N2110" t="str">
        <f t="shared" si="334"/>
        <v>Centre de Santé</v>
      </c>
      <c r="O2110" t="str">
        <f>"40"</f>
        <v>40</v>
      </c>
      <c r="P2110" t="str">
        <f>"Régime Général de Sécurité Sociale"</f>
        <v>Régime Général de Sécurité Sociale</v>
      </c>
      <c r="Q2110" t="str">
        <f t="shared" si="335"/>
        <v>36</v>
      </c>
      <c r="R2110" t="str">
        <f t="shared" si="336"/>
        <v>Tarifs conventionnels assurance maladie</v>
      </c>
      <c r="U2110" t="str">
        <f>"690797006"</f>
        <v>690797006</v>
      </c>
    </row>
    <row r="2111" spans="1:21" x14ac:dyDescent="0.3">
      <c r="A2111" t="str">
        <f>"850017252"</f>
        <v>850017252</v>
      </c>
      <c r="B2111" t="str">
        <f>"268 500 287 00035"</f>
        <v>268 500 287 00035</v>
      </c>
      <c r="D2111" t="str">
        <f>"CENTRE DE SANTE DE L'HOPITAL DUMONTE"</f>
        <v>CENTRE DE SANTE DE L'HOPITAL DUMONTE</v>
      </c>
      <c r="F2111" t="str">
        <f>"45 RUE CALYPSO"</f>
        <v>45 RUE CALYPSO</v>
      </c>
      <c r="H2111" t="str">
        <f>"85350"</f>
        <v>85350</v>
      </c>
      <c r="I2111" t="str">
        <f>"L ILE D YEU"</f>
        <v>L ILE D YEU</v>
      </c>
      <c r="J2111" t="str">
        <f>"02 51 59 39 00 "</f>
        <v xml:space="preserve">02 51 59 39 00 </v>
      </c>
      <c r="K2111" t="str">
        <f>"02 51 58 52 47"</f>
        <v>02 51 58 52 47</v>
      </c>
      <c r="L2111" s="1">
        <v>40179</v>
      </c>
      <c r="M2111" t="str">
        <f t="shared" si="333"/>
        <v>124</v>
      </c>
      <c r="N2111" t="str">
        <f t="shared" si="334"/>
        <v>Centre de Santé</v>
      </c>
      <c r="O2111" t="str">
        <f>"13"</f>
        <v>13</v>
      </c>
      <c r="P2111" t="str">
        <f>"Etablissement Public Communal d'Hospitalisation"</f>
        <v>Etablissement Public Communal d'Hospitalisation</v>
      </c>
      <c r="Q2111" t="str">
        <f t="shared" si="335"/>
        <v>36</v>
      </c>
      <c r="R2111" t="str">
        <f t="shared" si="336"/>
        <v>Tarifs conventionnels assurance maladie</v>
      </c>
      <c r="U2111" t="str">
        <f>"850000043"</f>
        <v>850000043</v>
      </c>
    </row>
    <row r="2112" spans="1:21" x14ac:dyDescent="0.3">
      <c r="A2112" t="str">
        <f>"380015602"</f>
        <v>380015602</v>
      </c>
      <c r="D2112" t="str">
        <f>"CENTRE DE SANTE CALYDIAL VIENNE"</f>
        <v>CENTRE DE SANTE CALYDIAL VIENNE</v>
      </c>
      <c r="E2112" t="str">
        <f>"CENTRE HOSPITALIER LUCIEN HUSSEL"</f>
        <v>CENTRE HOSPITALIER LUCIEN HUSSEL</v>
      </c>
      <c r="F2112" t="str">
        <f>"MONT SALOMON"</f>
        <v>MONT SALOMON</v>
      </c>
      <c r="H2112" t="str">
        <f>"38200"</f>
        <v>38200</v>
      </c>
      <c r="I2112" t="str">
        <f>"VIENNE"</f>
        <v>VIENNE</v>
      </c>
      <c r="J2112" t="str">
        <f>"04 74 31 30 95 "</f>
        <v xml:space="preserve">04 74 31 30 95 </v>
      </c>
      <c r="K2112" t="str">
        <f>"04 74 31 30 96"</f>
        <v>04 74 31 30 96</v>
      </c>
      <c r="L2112" s="1">
        <v>40155</v>
      </c>
      <c r="M2112" t="str">
        <f t="shared" si="333"/>
        <v>124</v>
      </c>
      <c r="N2112" t="str">
        <f t="shared" si="334"/>
        <v>Centre de Santé</v>
      </c>
      <c r="O2112" t="str">
        <f>"60"</f>
        <v>60</v>
      </c>
      <c r="P2112" t="str">
        <f>"Association Loi 1901 non Reconnue d'Utilité Publique"</f>
        <v>Association Loi 1901 non Reconnue d'Utilité Publique</v>
      </c>
      <c r="Q2112" t="str">
        <f t="shared" si="335"/>
        <v>36</v>
      </c>
      <c r="R2112" t="str">
        <f t="shared" si="336"/>
        <v>Tarifs conventionnels assurance maladie</v>
      </c>
      <c r="U2112" t="str">
        <f>"690002225"</f>
        <v>690002225</v>
      </c>
    </row>
    <row r="2113" spans="1:21" x14ac:dyDescent="0.3">
      <c r="A2113" t="str">
        <f>"110005485"</f>
        <v>110005485</v>
      </c>
      <c r="B2113" t="str">
        <f>"512 611 781 00489"</f>
        <v>512 611 781 00489</v>
      </c>
      <c r="D2113" t="str">
        <f>"CENTRE SANTE DENTAIRE NARBONNE EIFFEL"</f>
        <v>CENTRE SANTE DENTAIRE NARBONNE EIFFEL</v>
      </c>
      <c r="E2113" t="str">
        <f>"ZONE DE LA COUPE"</f>
        <v>ZONE DE LA COUPE</v>
      </c>
      <c r="F2113" t="str">
        <f>"6 AVENUE GUSTAVE EIFFEL"</f>
        <v>6 AVENUE GUSTAVE EIFFEL</v>
      </c>
      <c r="G2113" t="str">
        <f>"BP 510"</f>
        <v>BP 510</v>
      </c>
      <c r="H2113" t="str">
        <f>"11100"</f>
        <v>11100</v>
      </c>
      <c r="I2113" t="str">
        <f>"NARBONNE"</f>
        <v>NARBONNE</v>
      </c>
      <c r="J2113" t="str">
        <f>"04 68 33 30 93 "</f>
        <v xml:space="preserve">04 68 33 30 93 </v>
      </c>
      <c r="L2113" s="1">
        <v>40151</v>
      </c>
      <c r="M2113" t="str">
        <f t="shared" si="333"/>
        <v>124</v>
      </c>
      <c r="N2113" t="str">
        <f t="shared" si="334"/>
        <v>Centre de Santé</v>
      </c>
      <c r="O2113" t="str">
        <f>"60"</f>
        <v>60</v>
      </c>
      <c r="P2113" t="str">
        <f>"Association Loi 1901 non Reconnue d'Utilité Publique"</f>
        <v>Association Loi 1901 non Reconnue d'Utilité Publique</v>
      </c>
      <c r="Q2113" t="str">
        <f t="shared" si="335"/>
        <v>36</v>
      </c>
      <c r="R2113" t="str">
        <f t="shared" si="336"/>
        <v>Tarifs conventionnels assurance maladie</v>
      </c>
      <c r="U2113" t="str">
        <f>"840019210"</f>
        <v>840019210</v>
      </c>
    </row>
    <row r="2114" spans="1:21" x14ac:dyDescent="0.3">
      <c r="A2114" t="str">
        <f>"570011585"</f>
        <v>570011585</v>
      </c>
      <c r="B2114" t="str">
        <f>"775 615 537 00401"</f>
        <v>775 615 537 00401</v>
      </c>
      <c r="D2114" t="str">
        <f>"CENTRE DE SANTE DENTAIRE UTML"</f>
        <v>CENTRE DE SANTE DENTAIRE UTML</v>
      </c>
      <c r="E2114" t="str">
        <f>"1ER ETAGE"</f>
        <v>1ER ETAGE</v>
      </c>
      <c r="F2114" t="str">
        <f>"3 RUE DE VERCLY"</f>
        <v>3 RUE DE VERCLY</v>
      </c>
      <c r="H2114" t="str">
        <f>"57000"</f>
        <v>57000</v>
      </c>
      <c r="I2114" t="str">
        <f>"METZ"</f>
        <v>METZ</v>
      </c>
      <c r="J2114" t="str">
        <f>"03 87 18 47 50 "</f>
        <v xml:space="preserve">03 87 18 47 50 </v>
      </c>
      <c r="K2114" t="str">
        <f>"03 87 18 47 49"</f>
        <v>03 87 18 47 49</v>
      </c>
      <c r="L2114" s="1">
        <v>40143</v>
      </c>
      <c r="M2114" t="str">
        <f t="shared" ref="M2114:M2177" si="337">"124"</f>
        <v>124</v>
      </c>
      <c r="N2114" t="str">
        <f t="shared" ref="N2114:N2177" si="338">"Centre de Santé"</f>
        <v>Centre de Santé</v>
      </c>
      <c r="O2114" t="str">
        <f>"47"</f>
        <v>47</v>
      </c>
      <c r="P2114" t="str">
        <f>"Société Mutualiste"</f>
        <v>Société Mutualiste</v>
      </c>
      <c r="Q2114" t="str">
        <f t="shared" si="335"/>
        <v>36</v>
      </c>
      <c r="R2114" t="str">
        <f t="shared" si="336"/>
        <v>Tarifs conventionnels assurance maladie</v>
      </c>
      <c r="U2114" t="str">
        <f>"540013042"</f>
        <v>540013042</v>
      </c>
    </row>
    <row r="2115" spans="1:21" x14ac:dyDescent="0.3">
      <c r="A2115" t="str">
        <f>"590064903"</f>
        <v>590064903</v>
      </c>
      <c r="B2115" t="str">
        <f>"502 946 494 00023"</f>
        <v>502 946 494 00023</v>
      </c>
      <c r="D2115" t="str">
        <f>"PLATE FORME SANTÉ DU DOUAISIS"</f>
        <v>PLATE FORME SANTÉ DU DOUAISIS</v>
      </c>
      <c r="E2115" t="str">
        <f>"BÂTIMENT DE L'ARSENAL 2EME ÉTAGE"</f>
        <v>BÂTIMENT DE L'ARSENAL 2EME ÉTAGE</v>
      </c>
      <c r="F2115" t="str">
        <f>"299 RUE SAINT SULPICE"</f>
        <v>299 RUE SAINT SULPICE</v>
      </c>
      <c r="H2115" t="str">
        <f>"59500"</f>
        <v>59500</v>
      </c>
      <c r="I2115" t="str">
        <f>"DOUAI"</f>
        <v>DOUAI</v>
      </c>
      <c r="L2115" s="1">
        <v>40119</v>
      </c>
      <c r="M2115" t="str">
        <f t="shared" si="337"/>
        <v>124</v>
      </c>
      <c r="N2115" t="str">
        <f t="shared" si="338"/>
        <v>Centre de Santé</v>
      </c>
      <c r="O2115" t="str">
        <f>"61"</f>
        <v>61</v>
      </c>
      <c r="P2115" t="str">
        <f>"Association Loi 1901 Reconnue d'Utilité Publique"</f>
        <v>Association Loi 1901 Reconnue d'Utilité Publique</v>
      </c>
      <c r="Q2115" t="str">
        <f t="shared" si="335"/>
        <v>36</v>
      </c>
      <c r="R2115" t="str">
        <f t="shared" si="336"/>
        <v>Tarifs conventionnels assurance maladie</v>
      </c>
      <c r="U2115" t="str">
        <f>"590064895"</f>
        <v>590064895</v>
      </c>
    </row>
    <row r="2116" spans="1:21" x14ac:dyDescent="0.3">
      <c r="A2116" t="str">
        <f>"2B0001549"</f>
        <v>2B0001549</v>
      </c>
      <c r="D2116" t="str">
        <f>"CENTRE DE SOINS DENTAIRE MUTUALISTE"</f>
        <v>CENTRE DE SOINS DENTAIRE MUTUALISTE</v>
      </c>
      <c r="F2116" t="str">
        <f>"IMMEUBLE PASCAL PAOLI"</f>
        <v>IMMEUBLE PASCAL PAOLI</v>
      </c>
      <c r="G2116" t="str">
        <f>"AV PRESIDENT PIERUCCI"</f>
        <v>AV PRESIDENT PIERUCCI</v>
      </c>
      <c r="H2116" t="str">
        <f>"20250"</f>
        <v>20250</v>
      </c>
      <c r="I2116" t="str">
        <f>"CORTE"</f>
        <v>CORTE</v>
      </c>
      <c r="J2116" t="str">
        <f>"04 95 46 25 92 "</f>
        <v xml:space="preserve">04 95 46 25 92 </v>
      </c>
      <c r="K2116" t="str">
        <f>"04 95 32 29 83"</f>
        <v>04 95 32 29 83</v>
      </c>
      <c r="L2116" s="1">
        <v>40108</v>
      </c>
      <c r="M2116" t="str">
        <f t="shared" si="337"/>
        <v>124</v>
      </c>
      <c r="N2116" t="str">
        <f t="shared" si="338"/>
        <v>Centre de Santé</v>
      </c>
      <c r="O2116" t="str">
        <f>"47"</f>
        <v>47</v>
      </c>
      <c r="P2116" t="str">
        <f>"Société Mutualiste"</f>
        <v>Société Mutualiste</v>
      </c>
      <c r="Q2116" t="str">
        <f t="shared" si="335"/>
        <v>36</v>
      </c>
      <c r="R2116" t="str">
        <f t="shared" si="336"/>
        <v>Tarifs conventionnels assurance maladie</v>
      </c>
      <c r="U2116" t="str">
        <f>"2A0001848"</f>
        <v>2A0001848</v>
      </c>
    </row>
    <row r="2117" spans="1:21" x14ac:dyDescent="0.3">
      <c r="A2117" t="str">
        <f>"750041139"</f>
        <v>750041139</v>
      </c>
      <c r="B2117" t="str">
        <f>"300 512 647 00011"</f>
        <v>300 512 647 00011</v>
      </c>
      <c r="D2117" t="str">
        <f>"CDS FERNAND LAMAZE"</f>
        <v>CDS FERNAND LAMAZE</v>
      </c>
      <c r="E2117" t="str">
        <f>"4-6"</f>
        <v>4-6</v>
      </c>
      <c r="F2117" t="str">
        <f>"4 RUE LASSON"</f>
        <v>4 RUE LASSON</v>
      </c>
      <c r="H2117" t="str">
        <f>"75012"</f>
        <v>75012</v>
      </c>
      <c r="I2117" t="str">
        <f>"PARIS"</f>
        <v>PARIS</v>
      </c>
      <c r="J2117" t="str">
        <f>"01 53 36 42 32 "</f>
        <v xml:space="preserve">01 53 36 42 32 </v>
      </c>
      <c r="L2117" s="1">
        <v>40057</v>
      </c>
      <c r="M2117" t="str">
        <f t="shared" si="337"/>
        <v>124</v>
      </c>
      <c r="N2117" t="str">
        <f t="shared" si="338"/>
        <v>Centre de Santé</v>
      </c>
      <c r="O2117" t="str">
        <f>"60"</f>
        <v>60</v>
      </c>
      <c r="P2117" t="str">
        <f>"Association Loi 1901 non Reconnue d'Utilité Publique"</f>
        <v>Association Loi 1901 non Reconnue d'Utilité Publique</v>
      </c>
      <c r="Q2117" t="str">
        <f t="shared" si="335"/>
        <v>36</v>
      </c>
      <c r="R2117" t="str">
        <f t="shared" si="336"/>
        <v>Tarifs conventionnels assurance maladie</v>
      </c>
      <c r="U2117" t="str">
        <f>"750811887"</f>
        <v>750811887</v>
      </c>
    </row>
    <row r="2118" spans="1:21" x14ac:dyDescent="0.3">
      <c r="A2118" t="str">
        <f>"750046484"</f>
        <v>750046484</v>
      </c>
      <c r="B2118" t="str">
        <f>"380 455 741 00179"</f>
        <v>380 455 741 00179</v>
      </c>
      <c r="D2118" t="str">
        <f>"CDS LE 190"</f>
        <v>CDS LE 190</v>
      </c>
      <c r="F2118" t="str">
        <f>"90 RUE JEAN-PIERRE TIMBAUD"</f>
        <v>90 RUE JEAN-PIERRE TIMBAUD</v>
      </c>
      <c r="H2118" t="str">
        <f>"75011"</f>
        <v>75011</v>
      </c>
      <c r="I2118" t="str">
        <f>"PARIS"</f>
        <v>PARIS</v>
      </c>
      <c r="J2118" t="str">
        <f>"01 44 93 16 78 "</f>
        <v xml:space="preserve">01 44 93 16 78 </v>
      </c>
      <c r="K2118" t="str">
        <f>"01 44 93 16 00"</f>
        <v>01 44 93 16 00</v>
      </c>
      <c r="L2118" s="1">
        <v>40010</v>
      </c>
      <c r="M2118" t="str">
        <f t="shared" si="337"/>
        <v>124</v>
      </c>
      <c r="N2118" t="str">
        <f t="shared" si="338"/>
        <v>Centre de Santé</v>
      </c>
      <c r="O2118" t="str">
        <f>"61"</f>
        <v>61</v>
      </c>
      <c r="P2118" t="str">
        <f>"Association Loi 1901 Reconnue d'Utilité Publique"</f>
        <v>Association Loi 1901 Reconnue d'Utilité Publique</v>
      </c>
      <c r="Q2118" t="str">
        <f t="shared" si="335"/>
        <v>36</v>
      </c>
      <c r="R2118" t="str">
        <f t="shared" si="336"/>
        <v>Tarifs conventionnels assurance maladie</v>
      </c>
      <c r="U2118" t="str">
        <f>"750046476"</f>
        <v>750046476</v>
      </c>
    </row>
    <row r="2119" spans="1:21" x14ac:dyDescent="0.3">
      <c r="A2119" t="str">
        <f>"820008308"</f>
        <v>820008308</v>
      </c>
      <c r="B2119" t="str">
        <f>"312 215 114 00132"</f>
        <v>312 215 114 00132</v>
      </c>
      <c r="D2119" t="str">
        <f>"CENTRE DE SANTÉ DENTAIRE"</f>
        <v>CENTRE DE SANTÉ DENTAIRE</v>
      </c>
      <c r="F2119" t="str">
        <f>"34 BOULEVARD DIDIER REY"</f>
        <v>34 BOULEVARD DIDIER REY</v>
      </c>
      <c r="H2119" t="str">
        <f>"82300"</f>
        <v>82300</v>
      </c>
      <c r="I2119" t="str">
        <f>"CAUSSADE"</f>
        <v>CAUSSADE</v>
      </c>
      <c r="J2119" t="str">
        <f>"05 63 21 70 61 "</f>
        <v xml:space="preserve">05 63 21 70 61 </v>
      </c>
      <c r="K2119" t="str">
        <f>"05 63 66 19 05"</f>
        <v>05 63 66 19 05</v>
      </c>
      <c r="L2119" s="1">
        <v>39987</v>
      </c>
      <c r="M2119" t="str">
        <f t="shared" si="337"/>
        <v>124</v>
      </c>
      <c r="N2119" t="str">
        <f t="shared" si="338"/>
        <v>Centre de Santé</v>
      </c>
      <c r="O2119" t="str">
        <f>"47"</f>
        <v>47</v>
      </c>
      <c r="P2119" t="str">
        <f>"Société Mutualiste"</f>
        <v>Société Mutualiste</v>
      </c>
      <c r="Q2119" t="str">
        <f t="shared" si="335"/>
        <v>36</v>
      </c>
      <c r="R2119" t="str">
        <f t="shared" si="336"/>
        <v>Tarifs conventionnels assurance maladie</v>
      </c>
      <c r="U2119" t="str">
        <f>"820005304"</f>
        <v>820005304</v>
      </c>
    </row>
    <row r="2120" spans="1:21" x14ac:dyDescent="0.3">
      <c r="A2120" t="str">
        <f>"060019098"</f>
        <v>060019098</v>
      </c>
      <c r="D2120" t="str">
        <f>"CDS POLYVALENT PEP06 ROSSETTI"</f>
        <v>CDS POLYVALENT PEP06 ROSSETTI</v>
      </c>
      <c r="F2120" t="str">
        <f>"400 BOULEVARD DE LA MADELEINE"</f>
        <v>400 BOULEVARD DE LA MADELEINE</v>
      </c>
      <c r="H2120" t="str">
        <f>"06000"</f>
        <v>06000</v>
      </c>
      <c r="I2120" t="str">
        <f>"NICE"</f>
        <v>NICE</v>
      </c>
      <c r="J2120" t="str">
        <f>"04 97 11 44 44 "</f>
        <v xml:space="preserve">04 97 11 44 44 </v>
      </c>
      <c r="K2120" t="str">
        <f>"04 93 37 01 96"</f>
        <v>04 93 37 01 96</v>
      </c>
      <c r="L2120" s="1">
        <v>39958</v>
      </c>
      <c r="M2120" t="str">
        <f t="shared" si="337"/>
        <v>124</v>
      </c>
      <c r="N2120" t="str">
        <f t="shared" si="338"/>
        <v>Centre de Santé</v>
      </c>
      <c r="O2120" t="str">
        <f>"61"</f>
        <v>61</v>
      </c>
      <c r="P2120" t="str">
        <f>"Association Loi 1901 Reconnue d'Utilité Publique"</f>
        <v>Association Loi 1901 Reconnue d'Utilité Publique</v>
      </c>
      <c r="Q2120" t="str">
        <f t="shared" si="335"/>
        <v>36</v>
      </c>
      <c r="R2120" t="str">
        <f t="shared" si="336"/>
        <v>Tarifs conventionnels assurance maladie</v>
      </c>
      <c r="U2120" t="str">
        <f>"060791647"</f>
        <v>060791647</v>
      </c>
    </row>
    <row r="2121" spans="1:21" x14ac:dyDescent="0.3">
      <c r="A2121" t="str">
        <f>"940013139"</f>
        <v>940013139</v>
      </c>
      <c r="D2121" t="str">
        <f>"CDS DENTAIRE VICTOR HUGO"</f>
        <v>CDS DENTAIRE VICTOR HUGO</v>
      </c>
      <c r="F2121" t="str">
        <f>"53 RUE VICTOR HUGO"</f>
        <v>53 RUE VICTOR HUGO</v>
      </c>
      <c r="H2121" t="str">
        <f>"94140"</f>
        <v>94140</v>
      </c>
      <c r="I2121" t="str">
        <f>"ALFORTVILLE"</f>
        <v>ALFORTVILLE</v>
      </c>
      <c r="J2121" t="str">
        <f>"09 61 30 97 26 "</f>
        <v xml:space="preserve">09 61 30 97 26 </v>
      </c>
      <c r="L2121" s="1">
        <v>39939</v>
      </c>
      <c r="M2121" t="str">
        <f t="shared" si="337"/>
        <v>124</v>
      </c>
      <c r="N2121" t="str">
        <f t="shared" si="338"/>
        <v>Centre de Santé</v>
      </c>
      <c r="O2121" t="str">
        <f>"60"</f>
        <v>60</v>
      </c>
      <c r="P2121" t="str">
        <f>"Association Loi 1901 non Reconnue d'Utilité Publique"</f>
        <v>Association Loi 1901 non Reconnue d'Utilité Publique</v>
      </c>
      <c r="Q2121" t="str">
        <f t="shared" si="335"/>
        <v>36</v>
      </c>
      <c r="R2121" t="str">
        <f t="shared" si="336"/>
        <v>Tarifs conventionnels assurance maladie</v>
      </c>
      <c r="U2121" t="str">
        <f>"940024854"</f>
        <v>940024854</v>
      </c>
    </row>
    <row r="2122" spans="1:21" x14ac:dyDescent="0.3">
      <c r="A2122" t="str">
        <f>"480001627"</f>
        <v>480001627</v>
      </c>
      <c r="B2122" t="str">
        <f>"333 033 728 00010"</f>
        <v>333 033 728 00010</v>
      </c>
      <c r="D2122" t="str">
        <f>"CDS INFIRMIER ADMR MONT LOZERE"</f>
        <v>CDS INFIRMIER ADMR MONT LOZERE</v>
      </c>
      <c r="F2122" t="str">
        <f>"QUARTIER DE L'ESTOURNAL"</f>
        <v>QUARTIER DE L'ESTOURNAL</v>
      </c>
      <c r="H2122" t="str">
        <f>"48220"</f>
        <v>48220</v>
      </c>
      <c r="I2122" t="str">
        <f>"PONT DE MONTVERT SUD MONT"</f>
        <v>PONT DE MONTVERT SUD MONT</v>
      </c>
      <c r="J2122" t="str">
        <f>"04 66 45 95 71 "</f>
        <v xml:space="preserve">04 66 45 95 71 </v>
      </c>
      <c r="K2122" t="str">
        <f>"04 66 45 95 71"</f>
        <v>04 66 45 95 71</v>
      </c>
      <c r="L2122" s="1">
        <v>39904</v>
      </c>
      <c r="M2122" t="str">
        <f t="shared" si="337"/>
        <v>124</v>
      </c>
      <c r="N2122" t="str">
        <f t="shared" si="338"/>
        <v>Centre de Santé</v>
      </c>
      <c r="O2122" t="str">
        <f>"60"</f>
        <v>60</v>
      </c>
      <c r="P2122" t="str">
        <f>"Association Loi 1901 non Reconnue d'Utilité Publique"</f>
        <v>Association Loi 1901 non Reconnue d'Utilité Publique</v>
      </c>
      <c r="Q2122" t="str">
        <f t="shared" si="335"/>
        <v>36</v>
      </c>
      <c r="R2122" t="str">
        <f t="shared" si="336"/>
        <v>Tarifs conventionnels assurance maladie</v>
      </c>
      <c r="U2122" t="str">
        <f>"480001619"</f>
        <v>480001619</v>
      </c>
    </row>
    <row r="2123" spans="1:21" x14ac:dyDescent="0.3">
      <c r="A2123" t="str">
        <f>"720018076"</f>
        <v>720018076</v>
      </c>
      <c r="B2123" t="str">
        <f>"197 209 166 00010"</f>
        <v>197 209 166 00010</v>
      </c>
      <c r="D2123" t="str">
        <f>"CENTRE DE SANTE MEDICAL UNIVERSITAIRE"</f>
        <v>CENTRE DE SANTE MEDICAL UNIVERSITAIRE</v>
      </c>
      <c r="F2123" t="str">
        <f>"AVENUE OLIVIER MESSIAEN"</f>
        <v>AVENUE OLIVIER MESSIAEN</v>
      </c>
      <c r="H2123" t="str">
        <f>"72085"</f>
        <v>72085</v>
      </c>
      <c r="I2123" t="str">
        <f>"LE MANS CEDEX 9"</f>
        <v>LE MANS CEDEX 9</v>
      </c>
      <c r="J2123" t="str">
        <f>"02 43 83 30 33 "</f>
        <v xml:space="preserve">02 43 83 30 33 </v>
      </c>
      <c r="K2123" t="str">
        <f>"02 43 83 27 43"</f>
        <v>02 43 83 27 43</v>
      </c>
      <c r="L2123" s="1">
        <v>39899</v>
      </c>
      <c r="M2123" t="str">
        <f t="shared" si="337"/>
        <v>124</v>
      </c>
      <c r="N2123" t="str">
        <f t="shared" si="338"/>
        <v>Centre de Santé</v>
      </c>
      <c r="O2123" t="str">
        <f>"26"</f>
        <v>26</v>
      </c>
      <c r="P2123" t="str">
        <f>"Autre Etablissement Public à Caractère Administratif"</f>
        <v>Autre Etablissement Public à Caractère Administratif</v>
      </c>
      <c r="Q2123" t="str">
        <f t="shared" si="335"/>
        <v>36</v>
      </c>
      <c r="R2123" t="str">
        <f t="shared" si="336"/>
        <v>Tarifs conventionnels assurance maladie</v>
      </c>
      <c r="U2123" t="str">
        <f>"720018068"</f>
        <v>720018068</v>
      </c>
    </row>
    <row r="2124" spans="1:21" x14ac:dyDescent="0.3">
      <c r="A2124" t="str">
        <f>"840017248"</f>
        <v>840017248</v>
      </c>
      <c r="B2124" t="str">
        <f>"491 147 880 00075"</f>
        <v>491 147 880 00075</v>
      </c>
      <c r="D2124" t="str">
        <f>"CDS DENTAIRE"</f>
        <v>CDS DENTAIRE</v>
      </c>
      <c r="F2124" t="str">
        <f>"36 RUE SAINT CLEMENT"</f>
        <v>36 RUE SAINT CLEMENT</v>
      </c>
      <c r="H2124" t="str">
        <f>"84100"</f>
        <v>84100</v>
      </c>
      <c r="I2124" t="str">
        <f>"ORANGE"</f>
        <v>ORANGE</v>
      </c>
      <c r="J2124" t="str">
        <f>"04 32 81 93 97 "</f>
        <v xml:space="preserve">04 32 81 93 97 </v>
      </c>
      <c r="L2124" s="1">
        <v>39897</v>
      </c>
      <c r="M2124" t="str">
        <f t="shared" si="337"/>
        <v>124</v>
      </c>
      <c r="N2124" t="str">
        <f t="shared" si="338"/>
        <v>Centre de Santé</v>
      </c>
      <c r="O2124" t="str">
        <f>"47"</f>
        <v>47</v>
      </c>
      <c r="P2124" t="str">
        <f>"Société Mutualiste"</f>
        <v>Société Mutualiste</v>
      </c>
      <c r="Q2124" t="str">
        <f t="shared" si="335"/>
        <v>36</v>
      </c>
      <c r="R2124" t="str">
        <f t="shared" si="336"/>
        <v>Tarifs conventionnels assurance maladie</v>
      </c>
      <c r="U2124" t="str">
        <f>"840016398"</f>
        <v>840016398</v>
      </c>
    </row>
    <row r="2125" spans="1:21" x14ac:dyDescent="0.3">
      <c r="A2125" t="str">
        <f>"690004999"</f>
        <v>690004999</v>
      </c>
      <c r="B2125" t="str">
        <f>"779 866 110 00066"</f>
        <v>779 866 110 00066</v>
      </c>
      <c r="D2125" t="str">
        <f>"CENTRE DE SANTE FDGL JEAN GOULLARD"</f>
        <v>CENTRE DE SANTE FDGL JEAN GOULLARD</v>
      </c>
      <c r="F2125" t="str">
        <f>"40 AVENUE GEORGES ROUGE"</f>
        <v>40 AVENUE GEORGES ROUGE</v>
      </c>
      <c r="H2125" t="str">
        <f>"69120"</f>
        <v>69120</v>
      </c>
      <c r="I2125" t="str">
        <f>"VAULX EN VELIN"</f>
        <v>VAULX EN VELIN</v>
      </c>
      <c r="J2125" t="str">
        <f>"04 26 49 10 10 "</f>
        <v xml:space="preserve">04 26 49 10 10 </v>
      </c>
      <c r="K2125" t="str">
        <f>"04 72 02 93 34"</f>
        <v>04 72 02 93 34</v>
      </c>
      <c r="L2125" s="1">
        <v>39873</v>
      </c>
      <c r="M2125" t="str">
        <f t="shared" si="337"/>
        <v>124</v>
      </c>
      <c r="N2125" t="str">
        <f t="shared" si="338"/>
        <v>Centre de Santé</v>
      </c>
      <c r="O2125" t="str">
        <f>"63"</f>
        <v>63</v>
      </c>
      <c r="P2125" t="str">
        <f>"Fondation"</f>
        <v>Fondation</v>
      </c>
      <c r="Q2125" t="str">
        <f t="shared" si="335"/>
        <v>36</v>
      </c>
      <c r="R2125" t="str">
        <f t="shared" si="336"/>
        <v>Tarifs conventionnels assurance maladie</v>
      </c>
      <c r="U2125" t="str">
        <f>"690793278"</f>
        <v>690793278</v>
      </c>
    </row>
    <row r="2126" spans="1:21" x14ac:dyDescent="0.3">
      <c r="A2126" t="str">
        <f>"930021563"</f>
        <v>930021563</v>
      </c>
      <c r="B2126" t="str">
        <f>"510 167 588 00019"</f>
        <v>510 167 588 00019</v>
      </c>
      <c r="D2126" t="str">
        <f>"CDS DENTAIRE DU MOULIN"</f>
        <v>CDS DENTAIRE DU MOULIN</v>
      </c>
      <c r="F2126" t="str">
        <f>"119 AVENUE CARNOT"</f>
        <v>119 AVENUE CARNOT</v>
      </c>
      <c r="H2126" t="str">
        <f>"93140"</f>
        <v>93140</v>
      </c>
      <c r="I2126" t="str">
        <f>"BONDY"</f>
        <v>BONDY</v>
      </c>
      <c r="J2126" t="str">
        <f>"06 77 62 52 13 "</f>
        <v xml:space="preserve">06 77 62 52 13 </v>
      </c>
      <c r="L2126" s="1">
        <v>39872</v>
      </c>
      <c r="M2126" t="str">
        <f t="shared" si="337"/>
        <v>124</v>
      </c>
      <c r="N2126" t="str">
        <f t="shared" si="338"/>
        <v>Centre de Santé</v>
      </c>
      <c r="O2126" t="str">
        <f>"60"</f>
        <v>60</v>
      </c>
      <c r="P2126" t="str">
        <f>"Association Loi 1901 non Reconnue d'Utilité Publique"</f>
        <v>Association Loi 1901 non Reconnue d'Utilité Publique</v>
      </c>
      <c r="Q2126" t="str">
        <f t="shared" si="335"/>
        <v>36</v>
      </c>
      <c r="R2126" t="str">
        <f t="shared" si="336"/>
        <v>Tarifs conventionnels assurance maladie</v>
      </c>
      <c r="U2126" t="str">
        <f>"750044950"</f>
        <v>750044950</v>
      </c>
    </row>
    <row r="2127" spans="1:21" x14ac:dyDescent="0.3">
      <c r="A2127" t="str">
        <f>"380792051"</f>
        <v>380792051</v>
      </c>
      <c r="B2127" t="str">
        <f>"501 735 328 00046"</f>
        <v>501 735 328 00046</v>
      </c>
      <c r="D2127" t="str">
        <f>"CENTRE DE SANTE UMGGHM GRENOBLE"</f>
        <v>CENTRE DE SANTE UMGGHM GRENOBLE</v>
      </c>
      <c r="F2127" t="str">
        <f>"4 RUE GENERAL FERRIE"</f>
        <v>4 RUE GENERAL FERRIE</v>
      </c>
      <c r="H2127" t="str">
        <f>"38000"</f>
        <v>38000</v>
      </c>
      <c r="I2127" t="str">
        <f>"GRENOBLE"</f>
        <v>GRENOBLE</v>
      </c>
      <c r="J2127" t="str">
        <f>"04 38 26 02 03 "</f>
        <v xml:space="preserve">04 38 26 02 03 </v>
      </c>
      <c r="K2127" t="str">
        <f>"04 76 86 06 91"</f>
        <v>04 76 86 06 91</v>
      </c>
      <c r="L2127" s="1">
        <v>39814</v>
      </c>
      <c r="M2127" t="str">
        <f t="shared" si="337"/>
        <v>124</v>
      </c>
      <c r="N2127" t="str">
        <f t="shared" si="338"/>
        <v>Centre de Santé</v>
      </c>
      <c r="O2127" t="str">
        <f>"47"</f>
        <v>47</v>
      </c>
      <c r="P2127" t="str">
        <f>"Société Mutualiste"</f>
        <v>Société Mutualiste</v>
      </c>
      <c r="Q2127" t="str">
        <f t="shared" si="335"/>
        <v>36</v>
      </c>
      <c r="R2127" t="str">
        <f t="shared" si="336"/>
        <v>Tarifs conventionnels assurance maladie</v>
      </c>
      <c r="U2127" t="str">
        <f>"380012609"</f>
        <v>380012609</v>
      </c>
    </row>
    <row r="2128" spans="1:21" x14ac:dyDescent="0.3">
      <c r="A2128" t="str">
        <f>"380802926"</f>
        <v>380802926</v>
      </c>
      <c r="B2128" t="str">
        <f>"501 735 328 00053"</f>
        <v>501 735 328 00053</v>
      </c>
      <c r="D2128" t="str">
        <f>"CENTRE DE SANTE UMGGHM MEYLAN"</f>
        <v>CENTRE DE SANTE UMGGHM MEYLAN</v>
      </c>
      <c r="F2128" t="str">
        <f>"65 BOULEVARD DES ALPES"</f>
        <v>65 BOULEVARD DES ALPES</v>
      </c>
      <c r="H2128" t="str">
        <f>"38240"</f>
        <v>38240</v>
      </c>
      <c r="I2128" t="str">
        <f>"MEYLAN"</f>
        <v>MEYLAN</v>
      </c>
      <c r="J2128" t="str">
        <f>"04 38 26 02 03 "</f>
        <v xml:space="preserve">04 38 26 02 03 </v>
      </c>
      <c r="K2128" t="str">
        <f>"04 76 86 06 91"</f>
        <v>04 76 86 06 91</v>
      </c>
      <c r="L2128" s="1">
        <v>39814</v>
      </c>
      <c r="M2128" t="str">
        <f t="shared" si="337"/>
        <v>124</v>
      </c>
      <c r="N2128" t="str">
        <f t="shared" si="338"/>
        <v>Centre de Santé</v>
      </c>
      <c r="O2128" t="str">
        <f>"47"</f>
        <v>47</v>
      </c>
      <c r="P2128" t="str">
        <f>"Société Mutualiste"</f>
        <v>Société Mutualiste</v>
      </c>
      <c r="Q2128" t="str">
        <f t="shared" si="335"/>
        <v>36</v>
      </c>
      <c r="R2128" t="str">
        <f t="shared" si="336"/>
        <v>Tarifs conventionnels assurance maladie</v>
      </c>
      <c r="U2128" t="str">
        <f>"380012609"</f>
        <v>380012609</v>
      </c>
    </row>
    <row r="2129" spans="1:21" x14ac:dyDescent="0.3">
      <c r="A2129" t="str">
        <f>"510000540"</f>
        <v>510000540</v>
      </c>
      <c r="B2129" t="str">
        <f>"510 635 907 00023"</f>
        <v>510 635 907 00023</v>
      </c>
      <c r="D2129" t="str">
        <f>"CENTRE DE SANTE INFIRMIER BON SECOURS"</f>
        <v>CENTRE DE SANTE INFIRMIER BON SECOURS</v>
      </c>
      <c r="F2129" t="str">
        <f>"120 RUE DE LA GARE"</f>
        <v>120 RUE DE LA GARE</v>
      </c>
      <c r="H2129" t="str">
        <f>"51120"</f>
        <v>51120</v>
      </c>
      <c r="I2129" t="str">
        <f>"SEZANNE"</f>
        <v>SEZANNE</v>
      </c>
      <c r="J2129" t="str">
        <f>"03 26 80 55 66 "</f>
        <v xml:space="preserve">03 26 80 55 66 </v>
      </c>
      <c r="L2129" s="1">
        <v>39814</v>
      </c>
      <c r="M2129" t="str">
        <f t="shared" si="337"/>
        <v>124</v>
      </c>
      <c r="N2129" t="str">
        <f t="shared" si="338"/>
        <v>Centre de Santé</v>
      </c>
      <c r="O2129" t="str">
        <f>"60"</f>
        <v>60</v>
      </c>
      <c r="P2129" t="str">
        <f>"Association Loi 1901 non Reconnue d'Utilité Publique"</f>
        <v>Association Loi 1901 non Reconnue d'Utilité Publique</v>
      </c>
      <c r="Q2129" t="str">
        <f t="shared" si="335"/>
        <v>36</v>
      </c>
      <c r="R2129" t="str">
        <f t="shared" si="336"/>
        <v>Tarifs conventionnels assurance maladie</v>
      </c>
      <c r="U2129" t="str">
        <f>"510024474"</f>
        <v>510024474</v>
      </c>
    </row>
    <row r="2130" spans="1:21" x14ac:dyDescent="0.3">
      <c r="A2130" t="str">
        <f>"640012019"</f>
        <v>640012019</v>
      </c>
      <c r="B2130" t="str">
        <f>"196 402 515 00270"</f>
        <v>196 402 515 00270</v>
      </c>
      <c r="D2130" t="str">
        <f>"SCE UNIVERSITAIRE MEDECINE PREVENTIVE"</f>
        <v>SCE UNIVERSITAIRE MEDECINE PREVENTIVE</v>
      </c>
      <c r="F2130" t="str">
        <f>"AVENUE DE L'UNIVERSITE"</f>
        <v>AVENUE DE L'UNIVERSITE</v>
      </c>
      <c r="G2130" t="str">
        <f>"BP 576"</f>
        <v>BP 576</v>
      </c>
      <c r="H2130" t="str">
        <f>"64012"</f>
        <v>64012</v>
      </c>
      <c r="I2130" t="str">
        <f>"PAU CEDEX"</f>
        <v>PAU CEDEX</v>
      </c>
      <c r="J2130" t="str">
        <f>"05 59 40 79 01 "</f>
        <v xml:space="preserve">05 59 40 79 01 </v>
      </c>
      <c r="K2130" t="str">
        <f>"05 59 40 79 07"</f>
        <v>05 59 40 79 07</v>
      </c>
      <c r="L2130" s="1">
        <v>39799</v>
      </c>
      <c r="M2130" t="str">
        <f t="shared" si="337"/>
        <v>124</v>
      </c>
      <c r="N2130" t="str">
        <f t="shared" si="338"/>
        <v>Centre de Santé</v>
      </c>
      <c r="O2130" t="str">
        <f>"26"</f>
        <v>26</v>
      </c>
      <c r="P2130" t="str">
        <f>"Autre Etablissement Public à Caractère Administratif"</f>
        <v>Autre Etablissement Public à Caractère Administratif</v>
      </c>
      <c r="Q2130" t="str">
        <f t="shared" si="335"/>
        <v>36</v>
      </c>
      <c r="R2130" t="str">
        <f t="shared" si="336"/>
        <v>Tarifs conventionnels assurance maladie</v>
      </c>
      <c r="U2130" t="str">
        <f>"640011979"</f>
        <v>640011979</v>
      </c>
    </row>
    <row r="2131" spans="1:21" x14ac:dyDescent="0.3">
      <c r="A2131" t="str">
        <f>"640012068"</f>
        <v>640012068</v>
      </c>
      <c r="D2131" t="str">
        <f>"SUMPPS DE BAYONNE"</f>
        <v>SUMPPS DE BAYONNE</v>
      </c>
      <c r="F2131" t="str">
        <f>"77 RUE BOURGNEUF"</f>
        <v>77 RUE BOURGNEUF</v>
      </c>
      <c r="H2131" t="str">
        <f>"64100"</f>
        <v>64100</v>
      </c>
      <c r="I2131" t="str">
        <f>"BAYONNE"</f>
        <v>BAYONNE</v>
      </c>
      <c r="J2131" t="str">
        <f>"05 59 57 41 56 "</f>
        <v xml:space="preserve">05 59 57 41 56 </v>
      </c>
      <c r="K2131" t="str">
        <f>"05 59 57 41 66"</f>
        <v>05 59 57 41 66</v>
      </c>
      <c r="L2131" s="1">
        <v>39790</v>
      </c>
      <c r="M2131" t="str">
        <f t="shared" si="337"/>
        <v>124</v>
      </c>
      <c r="N2131" t="str">
        <f t="shared" si="338"/>
        <v>Centre de Santé</v>
      </c>
      <c r="O2131" t="str">
        <f>"26"</f>
        <v>26</v>
      </c>
      <c r="P2131" t="str">
        <f>"Autre Etablissement Public à Caractère Administratif"</f>
        <v>Autre Etablissement Public à Caractère Administratif</v>
      </c>
      <c r="Q2131" t="str">
        <f t="shared" si="335"/>
        <v>36</v>
      </c>
      <c r="R2131" t="str">
        <f t="shared" si="336"/>
        <v>Tarifs conventionnels assurance maladie</v>
      </c>
      <c r="U2131" t="str">
        <f>"640011979"</f>
        <v>640011979</v>
      </c>
    </row>
    <row r="2132" spans="1:21" x14ac:dyDescent="0.3">
      <c r="A2132" t="str">
        <f>"750044778"</f>
        <v>750044778</v>
      </c>
      <c r="B2132" t="str">
        <f>"784 809 683 00369"</f>
        <v>784 809 683 00369</v>
      </c>
      <c r="D2132" t="str">
        <f>"CDS MEDICAL ET DENTAIRE CLAVEL"</f>
        <v>CDS MEDICAL ET DENTAIRE CLAVEL</v>
      </c>
      <c r="F2132" t="str">
        <f>"6 RUE CLAVEL"</f>
        <v>6 RUE CLAVEL</v>
      </c>
      <c r="H2132" t="str">
        <f>"75019"</f>
        <v>75019</v>
      </c>
      <c r="I2132" t="str">
        <f>"PARIS"</f>
        <v>PARIS</v>
      </c>
      <c r="J2132" t="str">
        <f>"01 44 52 57 10 "</f>
        <v xml:space="preserve">01 44 52 57 10 </v>
      </c>
      <c r="K2132" t="str">
        <f>"01 44 52 57 18"</f>
        <v>01 44 52 57 18</v>
      </c>
      <c r="L2132" s="1">
        <v>39786</v>
      </c>
      <c r="M2132" t="str">
        <f t="shared" si="337"/>
        <v>124</v>
      </c>
      <c r="N2132" t="str">
        <f t="shared" si="338"/>
        <v>Centre de Santé</v>
      </c>
      <c r="O2132" t="str">
        <f>"63"</f>
        <v>63</v>
      </c>
      <c r="P2132" t="str">
        <f>"Fondation"</f>
        <v>Fondation</v>
      </c>
      <c r="Q2132" t="str">
        <f t="shared" si="335"/>
        <v>36</v>
      </c>
      <c r="R2132" t="str">
        <f t="shared" si="336"/>
        <v>Tarifs conventionnels assurance maladie</v>
      </c>
      <c r="U2132" t="str">
        <f>"750712341"</f>
        <v>750712341</v>
      </c>
    </row>
    <row r="2133" spans="1:21" x14ac:dyDescent="0.3">
      <c r="A2133" t="str">
        <f>"130031529"</f>
        <v>130031529</v>
      </c>
      <c r="D2133" t="str">
        <f>"CDS DENTAIRE OXANCE ST JEROME"</f>
        <v>CDS DENTAIRE OXANCE ST JEROME</v>
      </c>
      <c r="F2133" t="str">
        <f>"1 ALLEE DE LA DEMANDE"</f>
        <v>1 ALLEE DE LA DEMANDE</v>
      </c>
      <c r="H2133" t="str">
        <f>"13013"</f>
        <v>13013</v>
      </c>
      <c r="I2133" t="str">
        <f>"MARSEILLE"</f>
        <v>MARSEILLE</v>
      </c>
      <c r="J2133" t="str">
        <f>"04 91 21 82 10 "</f>
        <v xml:space="preserve">04 91 21 82 10 </v>
      </c>
      <c r="L2133" s="1">
        <v>39769</v>
      </c>
      <c r="M2133" t="str">
        <f t="shared" si="337"/>
        <v>124</v>
      </c>
      <c r="N2133" t="str">
        <f t="shared" si="338"/>
        <v>Centre de Santé</v>
      </c>
      <c r="O2133" t="str">
        <f>"47"</f>
        <v>47</v>
      </c>
      <c r="P2133" t="str">
        <f>"Société Mutualiste"</f>
        <v>Société Mutualiste</v>
      </c>
      <c r="Q2133" t="str">
        <f t="shared" si="335"/>
        <v>36</v>
      </c>
      <c r="R2133" t="str">
        <f t="shared" si="336"/>
        <v>Tarifs conventionnels assurance maladie</v>
      </c>
      <c r="U2133" t="str">
        <f>"690048111"</f>
        <v>690048111</v>
      </c>
    </row>
    <row r="2134" spans="1:21" x14ac:dyDescent="0.3">
      <c r="A2134" t="str">
        <f>"050005388"</f>
        <v>050005388</v>
      </c>
      <c r="B2134" t="str">
        <f>"352 098 131 00456"</f>
        <v>352 098 131 00456</v>
      </c>
      <c r="D2134" t="str">
        <f>"CDS DENTAIRE"</f>
        <v>CDS DENTAIRE</v>
      </c>
      <c r="F2134" t="str">
        <f>"PLACE LESDIGUIERES"</f>
        <v>PLACE LESDIGUIERES</v>
      </c>
      <c r="H2134" t="str">
        <f>"05500"</f>
        <v>05500</v>
      </c>
      <c r="I2134" t="str">
        <f>"ST BONNET EN CHAMPSAUR"</f>
        <v>ST BONNET EN CHAMPSAUR</v>
      </c>
      <c r="J2134" t="str">
        <f>"04 92 43 55 12 "</f>
        <v xml:space="preserve">04 92 43 55 12 </v>
      </c>
      <c r="L2134" s="1">
        <v>39741</v>
      </c>
      <c r="M2134" t="str">
        <f t="shared" si="337"/>
        <v>124</v>
      </c>
      <c r="N2134" t="str">
        <f t="shared" si="338"/>
        <v>Centre de Santé</v>
      </c>
      <c r="O2134" t="str">
        <f>"47"</f>
        <v>47</v>
      </c>
      <c r="P2134" t="str">
        <f>"Société Mutualiste"</f>
        <v>Société Mutualiste</v>
      </c>
      <c r="Q2134" t="str">
        <f t="shared" si="335"/>
        <v>36</v>
      </c>
      <c r="R2134" t="str">
        <f t="shared" si="336"/>
        <v>Tarifs conventionnels assurance maladie</v>
      </c>
      <c r="U2134" t="str">
        <f>"130007032"</f>
        <v>130007032</v>
      </c>
    </row>
    <row r="2135" spans="1:21" x14ac:dyDescent="0.3">
      <c r="A2135" t="str">
        <f>"100008978"</f>
        <v>100008978</v>
      </c>
      <c r="B2135" t="str">
        <f>"780 349 833 00068"</f>
        <v>780 349 833 00068</v>
      </c>
      <c r="D2135" t="str">
        <f>"CENTRE DE SANTE POLYVALENT"</f>
        <v>CENTRE DE SANTE POLYVALENT</v>
      </c>
      <c r="F2135" t="str">
        <f>"2 RUE PIERRE BROSSOLETTE"</f>
        <v>2 RUE PIERRE BROSSOLETTE</v>
      </c>
      <c r="H2135" t="str">
        <f>"10300"</f>
        <v>10300</v>
      </c>
      <c r="I2135" t="str">
        <f>"STE SAVINE"</f>
        <v>STE SAVINE</v>
      </c>
      <c r="J2135" t="str">
        <f>"03 25 74 33 33 "</f>
        <v xml:space="preserve">03 25 74 33 33 </v>
      </c>
      <c r="L2135" s="1">
        <v>39727</v>
      </c>
      <c r="M2135" t="str">
        <f t="shared" si="337"/>
        <v>124</v>
      </c>
      <c r="N2135" t="str">
        <f t="shared" si="338"/>
        <v>Centre de Santé</v>
      </c>
      <c r="O2135" t="str">
        <f>"47"</f>
        <v>47</v>
      </c>
      <c r="P2135" t="str">
        <f>"Société Mutualiste"</f>
        <v>Société Mutualiste</v>
      </c>
      <c r="Q2135" t="str">
        <f t="shared" si="335"/>
        <v>36</v>
      </c>
      <c r="R2135" t="str">
        <f t="shared" si="336"/>
        <v>Tarifs conventionnels assurance maladie</v>
      </c>
      <c r="U2135" t="str">
        <f>"510024581"</f>
        <v>510024581</v>
      </c>
    </row>
    <row r="2136" spans="1:21" x14ac:dyDescent="0.3">
      <c r="A2136" t="str">
        <f>"590046595"</f>
        <v>590046595</v>
      </c>
      <c r="B2136" t="str">
        <f>"775 685 316 01601"</f>
        <v>775 685 316 01601</v>
      </c>
      <c r="D2136" t="str">
        <f>"C S  LALLAING"</f>
        <v>C S  LALLAING</v>
      </c>
      <c r="E2136" t="str">
        <f>"LA PLAINE DE SCARPE"</f>
        <v>LA PLAINE DE SCARPE</v>
      </c>
      <c r="F2136" t="str">
        <f>"RUE JÉHANNE DE LALLAING"</f>
        <v>RUE JÉHANNE DE LALLAING</v>
      </c>
      <c r="H2136" t="str">
        <f>"59167"</f>
        <v>59167</v>
      </c>
      <c r="I2136" t="str">
        <f>"LALLAING"</f>
        <v>LALLAING</v>
      </c>
      <c r="J2136" t="str">
        <f>"03 21 08 69 70 "</f>
        <v xml:space="preserve">03 21 08 69 70 </v>
      </c>
      <c r="L2136" s="1">
        <v>39722</v>
      </c>
      <c r="M2136" t="str">
        <f t="shared" si="337"/>
        <v>124</v>
      </c>
      <c r="N2136" t="str">
        <f t="shared" si="338"/>
        <v>Centre de Santé</v>
      </c>
      <c r="O2136" t="str">
        <f>"41"</f>
        <v>41</v>
      </c>
      <c r="P2136" t="str">
        <f>"Régime Spécial de Sécurité Sociale"</f>
        <v>Régime Spécial de Sécurité Sociale</v>
      </c>
      <c r="Q2136" t="str">
        <f t="shared" si="335"/>
        <v>36</v>
      </c>
      <c r="R2136" t="str">
        <f t="shared" si="336"/>
        <v>Tarifs conventionnels assurance maladie</v>
      </c>
      <c r="U2136" t="str">
        <f>"750050759"</f>
        <v>750050759</v>
      </c>
    </row>
    <row r="2137" spans="1:21" x14ac:dyDescent="0.3">
      <c r="A2137" t="str">
        <f>"620111245"</f>
        <v>620111245</v>
      </c>
      <c r="D2137" t="str">
        <f>"CENTRE DE SANTÉ  DENTAIRE ARRAS"</f>
        <v>CENTRE DE SANTÉ  DENTAIRE ARRAS</v>
      </c>
      <c r="F2137" t="str">
        <f>"4 BOULEVARD DE STRASBOURG"</f>
        <v>4 BOULEVARD DE STRASBOURG</v>
      </c>
      <c r="H2137" t="str">
        <f>"62000"</f>
        <v>62000</v>
      </c>
      <c r="I2137" t="str">
        <f>"ARRAS"</f>
        <v>ARRAS</v>
      </c>
      <c r="J2137" t="str">
        <f>"03 21 22 84 04 "</f>
        <v xml:space="preserve">03 21 22 84 04 </v>
      </c>
      <c r="K2137" t="str">
        <f>"03 21 22 84 86"</f>
        <v>03 21 22 84 86</v>
      </c>
      <c r="L2137" s="1">
        <v>39720</v>
      </c>
      <c r="M2137" t="str">
        <f t="shared" si="337"/>
        <v>124</v>
      </c>
      <c r="N2137" t="str">
        <f t="shared" si="338"/>
        <v>Centre de Santé</v>
      </c>
      <c r="O2137" t="str">
        <f>"47"</f>
        <v>47</v>
      </c>
      <c r="P2137" t="str">
        <f>"Société Mutualiste"</f>
        <v>Société Mutualiste</v>
      </c>
      <c r="Q2137" t="str">
        <f t="shared" si="335"/>
        <v>36</v>
      </c>
      <c r="R2137" t="str">
        <f t="shared" si="336"/>
        <v>Tarifs conventionnels assurance maladie</v>
      </c>
      <c r="U2137" t="str">
        <f>"590024469"</f>
        <v>590024469</v>
      </c>
    </row>
    <row r="2138" spans="1:21" x14ac:dyDescent="0.3">
      <c r="A2138" t="str">
        <f>"740011895"</f>
        <v>740011895</v>
      </c>
      <c r="B2138" t="str">
        <f>"775 654 478 00491"</f>
        <v>775 654 478 00491</v>
      </c>
      <c r="D2138" t="str">
        <f>"CENTRE DE SANTE UMFMB FAVERGES"</f>
        <v>CENTRE DE SANTE UMFMB FAVERGES</v>
      </c>
      <c r="F2138" t="str">
        <f>"45 RUE VICTOR HUGO"</f>
        <v>45 RUE VICTOR HUGO</v>
      </c>
      <c r="H2138" t="str">
        <f>"74210"</f>
        <v>74210</v>
      </c>
      <c r="I2138" t="str">
        <f>"FAVERGES SEYTHENEX"</f>
        <v>FAVERGES SEYTHENEX</v>
      </c>
      <c r="J2138" t="str">
        <f>"04 50 05 23 68 "</f>
        <v xml:space="preserve">04 50 05 23 68 </v>
      </c>
      <c r="K2138" t="str">
        <f>"04 50 05 25 48"</f>
        <v>04 50 05 25 48</v>
      </c>
      <c r="L2138" s="1">
        <v>39692</v>
      </c>
      <c r="M2138" t="str">
        <f t="shared" si="337"/>
        <v>124</v>
      </c>
      <c r="N2138" t="str">
        <f t="shared" si="338"/>
        <v>Centre de Santé</v>
      </c>
      <c r="O2138" t="str">
        <f>"47"</f>
        <v>47</v>
      </c>
      <c r="P2138" t="str">
        <f>"Société Mutualiste"</f>
        <v>Société Mutualiste</v>
      </c>
      <c r="Q2138" t="str">
        <f t="shared" si="335"/>
        <v>36</v>
      </c>
      <c r="R2138" t="str">
        <f t="shared" si="336"/>
        <v>Tarifs conventionnels assurance maladie</v>
      </c>
      <c r="U2138" t="str">
        <f>"740787791"</f>
        <v>740787791</v>
      </c>
    </row>
    <row r="2139" spans="1:21" x14ac:dyDescent="0.3">
      <c r="A2139" t="str">
        <f>"590803979"</f>
        <v>590803979</v>
      </c>
      <c r="B2139" t="str">
        <f>"775 685 316 02658"</f>
        <v>775 685 316 02658</v>
      </c>
      <c r="D2139" t="str">
        <f>"CSP FILIERIS DE RAISMES"</f>
        <v>CSP FILIERIS DE RAISMES</v>
      </c>
      <c r="F2139" t="str">
        <f>"21 RUE CESAR FRANCK"</f>
        <v>21 RUE CESAR FRANCK</v>
      </c>
      <c r="H2139" t="str">
        <f>"59590"</f>
        <v>59590</v>
      </c>
      <c r="I2139" t="str">
        <f>"RAISMES"</f>
        <v>RAISMES</v>
      </c>
      <c r="J2139" t="str">
        <f>"03 27 41 57 93 "</f>
        <v xml:space="preserve">03 27 41 57 93 </v>
      </c>
      <c r="L2139" s="1">
        <v>39665</v>
      </c>
      <c r="M2139" t="str">
        <f t="shared" si="337"/>
        <v>124</v>
      </c>
      <c r="N2139" t="str">
        <f t="shared" si="338"/>
        <v>Centre de Santé</v>
      </c>
      <c r="O2139" t="str">
        <f>"41"</f>
        <v>41</v>
      </c>
      <c r="P2139" t="str">
        <f>"Régime Spécial de Sécurité Sociale"</f>
        <v>Régime Spécial de Sécurité Sociale</v>
      </c>
      <c r="Q2139" t="str">
        <f t="shared" si="335"/>
        <v>36</v>
      </c>
      <c r="R2139" t="str">
        <f t="shared" si="336"/>
        <v>Tarifs conventionnels assurance maladie</v>
      </c>
      <c r="U2139" t="str">
        <f>"750050759"</f>
        <v>750050759</v>
      </c>
    </row>
    <row r="2140" spans="1:21" x14ac:dyDescent="0.3">
      <c r="A2140" t="str">
        <f>"380012179"</f>
        <v>380012179</v>
      </c>
      <c r="B2140" t="str">
        <f>"509 631 313 00012"</f>
        <v>509 631 313 00012</v>
      </c>
      <c r="D2140" t="str">
        <f>"CENTRE DE SANTE ADMR SICCIEU"</f>
        <v>CENTRE DE SANTE ADMR SICCIEU</v>
      </c>
      <c r="F2140" t="str">
        <f>"5 PLACE DE LA MAIRIE"</f>
        <v>5 PLACE DE LA MAIRIE</v>
      </c>
      <c r="H2140" t="str">
        <f>"38460"</f>
        <v>38460</v>
      </c>
      <c r="I2140" t="str">
        <f>"SICCIEU ST JULIEN ET CARIS"</f>
        <v>SICCIEU ST JULIEN ET CARIS</v>
      </c>
      <c r="J2140" t="str">
        <f>"04 37 05 20 17 "</f>
        <v xml:space="preserve">04 37 05 20 17 </v>
      </c>
      <c r="K2140" t="str">
        <f>"04 37 05 20 17"</f>
        <v>04 37 05 20 17</v>
      </c>
      <c r="L2140" s="1">
        <v>39661</v>
      </c>
      <c r="M2140" t="str">
        <f t="shared" si="337"/>
        <v>124</v>
      </c>
      <c r="N2140" t="str">
        <f t="shared" si="338"/>
        <v>Centre de Santé</v>
      </c>
      <c r="O2140" t="str">
        <f>"61"</f>
        <v>61</v>
      </c>
      <c r="P2140" t="str">
        <f>"Association Loi 1901 Reconnue d'Utilité Publique"</f>
        <v>Association Loi 1901 Reconnue d'Utilité Publique</v>
      </c>
      <c r="Q2140" t="str">
        <f t="shared" si="335"/>
        <v>36</v>
      </c>
      <c r="R2140" t="str">
        <f t="shared" si="336"/>
        <v>Tarifs conventionnels assurance maladie</v>
      </c>
      <c r="U2140" t="str">
        <f>"380012138"</f>
        <v>380012138</v>
      </c>
    </row>
    <row r="2141" spans="1:21" x14ac:dyDescent="0.3">
      <c r="A2141" t="str">
        <f>"290031798"</f>
        <v>290031798</v>
      </c>
      <c r="B2141" t="str">
        <f>"775 576 549 00296"</f>
        <v>775 576 549 00296</v>
      </c>
      <c r="D2141" t="str">
        <f>"CDS DENTAIRE MUTUALISTE"</f>
        <v>CDS DENTAIRE MUTUALISTE</v>
      </c>
      <c r="F2141" t="str">
        <f>"4 RUE JACQUES CARTIER"</f>
        <v>4 RUE JACQUES CARTIER</v>
      </c>
      <c r="H2141" t="str">
        <f>"29500"</f>
        <v>29500</v>
      </c>
      <c r="I2141" t="str">
        <f>"ERGUE GABERIC"</f>
        <v>ERGUE GABERIC</v>
      </c>
      <c r="J2141" t="str">
        <f>"02 98 64 17 00 "</f>
        <v xml:space="preserve">02 98 64 17 00 </v>
      </c>
      <c r="L2141" s="1">
        <v>39604</v>
      </c>
      <c r="M2141" t="str">
        <f t="shared" si="337"/>
        <v>124</v>
      </c>
      <c r="N2141" t="str">
        <f t="shared" si="338"/>
        <v>Centre de Santé</v>
      </c>
      <c r="O2141" t="str">
        <f>"47"</f>
        <v>47</v>
      </c>
      <c r="P2141" t="str">
        <f>"Société Mutualiste"</f>
        <v>Société Mutualiste</v>
      </c>
      <c r="Q2141" t="str">
        <f t="shared" si="335"/>
        <v>36</v>
      </c>
      <c r="R2141" t="str">
        <f t="shared" si="336"/>
        <v>Tarifs conventionnels assurance maladie</v>
      </c>
      <c r="U2141" t="str">
        <f>"290007574"</f>
        <v>290007574</v>
      </c>
    </row>
    <row r="2142" spans="1:21" x14ac:dyDescent="0.3">
      <c r="A2142" t="str">
        <f>"420781593"</f>
        <v>420781593</v>
      </c>
      <c r="B2142" t="str">
        <f>"775 602 527 00167"</f>
        <v>775 602 527 00167</v>
      </c>
      <c r="D2142" t="str">
        <f>"CENTRE DE SANTE AIMV BEAUNIER"</f>
        <v>CENTRE DE SANTE AIMV BEAUNIER</v>
      </c>
      <c r="F2142" t="str">
        <f>"4 RUE BEAUNIER"</f>
        <v>4 RUE BEAUNIER</v>
      </c>
      <c r="H2142" t="str">
        <f>"42000"</f>
        <v>42000</v>
      </c>
      <c r="I2142" t="str">
        <f>"ST ETIENNE"</f>
        <v>ST ETIENNE</v>
      </c>
      <c r="J2142" t="str">
        <f>"04 77 33 12 94 "</f>
        <v xml:space="preserve">04 77 33 12 94 </v>
      </c>
      <c r="K2142" t="str">
        <f>"04 77 47 11 38"</f>
        <v>04 77 47 11 38</v>
      </c>
      <c r="L2142" s="1">
        <v>39600</v>
      </c>
      <c r="M2142" t="str">
        <f t="shared" si="337"/>
        <v>124</v>
      </c>
      <c r="N2142" t="str">
        <f t="shared" si="338"/>
        <v>Centre de Santé</v>
      </c>
      <c r="O2142" t="str">
        <f>"60"</f>
        <v>60</v>
      </c>
      <c r="P2142" t="str">
        <f>"Association Loi 1901 non Reconnue d'Utilité Publique"</f>
        <v>Association Loi 1901 non Reconnue d'Utilité Publique</v>
      </c>
      <c r="Q2142" t="str">
        <f t="shared" si="335"/>
        <v>36</v>
      </c>
      <c r="R2142" t="str">
        <f t="shared" si="336"/>
        <v>Tarifs conventionnels assurance maladie</v>
      </c>
      <c r="U2142" t="str">
        <f>"420787095"</f>
        <v>420787095</v>
      </c>
    </row>
    <row r="2143" spans="1:21" x14ac:dyDescent="0.3">
      <c r="A2143" t="str">
        <f>"310021027"</f>
        <v>310021027</v>
      </c>
      <c r="B2143" t="str">
        <f>"487 846 776 00010"</f>
        <v>487 846 776 00010</v>
      </c>
      <c r="D2143" t="str">
        <f>"CENTRE DE SANTE MEDICAL ET INFIRMIER"</f>
        <v>CENTRE DE SANTE MEDICAL ET INFIRMIER</v>
      </c>
      <c r="F2143" t="str">
        <f>"17 PLACE ARNAUD BERNARD"</f>
        <v>17 PLACE ARNAUD BERNARD</v>
      </c>
      <c r="H2143" t="str">
        <f>"31000"</f>
        <v>31000</v>
      </c>
      <c r="I2143" t="str">
        <f>"TOULOUSE"</f>
        <v>TOULOUSE</v>
      </c>
      <c r="J2143" t="str">
        <f>"05 61 23 01 37 "</f>
        <v xml:space="preserve">05 61 23 01 37 </v>
      </c>
      <c r="L2143" s="1">
        <v>39596</v>
      </c>
      <c r="M2143" t="str">
        <f t="shared" si="337"/>
        <v>124</v>
      </c>
      <c r="N2143" t="str">
        <f t="shared" si="338"/>
        <v>Centre de Santé</v>
      </c>
      <c r="O2143" t="str">
        <f>"61"</f>
        <v>61</v>
      </c>
      <c r="P2143" t="str">
        <f>"Association Loi 1901 Reconnue d'Utilité Publique"</f>
        <v>Association Loi 1901 Reconnue d'Utilité Publique</v>
      </c>
      <c r="Q2143" t="str">
        <f t="shared" si="335"/>
        <v>36</v>
      </c>
      <c r="R2143" t="str">
        <f t="shared" si="336"/>
        <v>Tarifs conventionnels assurance maladie</v>
      </c>
      <c r="U2143" t="str">
        <f>"310021019"</f>
        <v>310021019</v>
      </c>
    </row>
    <row r="2144" spans="1:21" x14ac:dyDescent="0.3">
      <c r="A2144" t="str">
        <f>"130029499"</f>
        <v>130029499</v>
      </c>
      <c r="D2144" t="str">
        <f>"CDS DENTAIRE OXANCE ST MARCEL"</f>
        <v>CDS DENTAIRE OXANCE ST MARCEL</v>
      </c>
      <c r="F2144" t="str">
        <f>"14 RUE DE SIAM"</f>
        <v>14 RUE DE SIAM</v>
      </c>
      <c r="H2144" t="str">
        <f>"13011"</f>
        <v>13011</v>
      </c>
      <c r="I2144" t="str">
        <f>"MARSEILLE"</f>
        <v>MARSEILLE</v>
      </c>
      <c r="J2144" t="str">
        <f>"04 91 19 17 00 "</f>
        <v xml:space="preserve">04 91 19 17 00 </v>
      </c>
      <c r="L2144" s="1">
        <v>39545</v>
      </c>
      <c r="M2144" t="str">
        <f t="shared" si="337"/>
        <v>124</v>
      </c>
      <c r="N2144" t="str">
        <f t="shared" si="338"/>
        <v>Centre de Santé</v>
      </c>
      <c r="O2144" t="str">
        <f t="shared" ref="O2144:O2151" si="339">"47"</f>
        <v>47</v>
      </c>
      <c r="P2144" t="str">
        <f t="shared" ref="P2144:P2151" si="340">"Société Mutualiste"</f>
        <v>Société Mutualiste</v>
      </c>
      <c r="Q2144" t="str">
        <f t="shared" si="335"/>
        <v>36</v>
      </c>
      <c r="R2144" t="str">
        <f t="shared" si="336"/>
        <v>Tarifs conventionnels assurance maladie</v>
      </c>
      <c r="U2144" t="str">
        <f>"690048111"</f>
        <v>690048111</v>
      </c>
    </row>
    <row r="2145" spans="1:21" x14ac:dyDescent="0.3">
      <c r="A2145" t="str">
        <f>"070005665"</f>
        <v>070005665</v>
      </c>
      <c r="B2145" t="str">
        <f>"775 761 844 01245"</f>
        <v>775 761 844 01245</v>
      </c>
      <c r="D2145" t="str">
        <f>"CENTRE DE SANTE OXANCE LE CHEYLARD"</f>
        <v>CENTRE DE SANTE OXANCE LE CHEYLARD</v>
      </c>
      <c r="F2145" t="str">
        <f>"30 RUE DE LA REPUBLIQUE"</f>
        <v>30 RUE DE LA REPUBLIQUE</v>
      </c>
      <c r="H2145" t="str">
        <f>"07160"</f>
        <v>07160</v>
      </c>
      <c r="I2145" t="str">
        <f>"LE CHEYLARD"</f>
        <v>LE CHEYLARD</v>
      </c>
      <c r="J2145" t="str">
        <f>"04 75 64 30 11 "</f>
        <v xml:space="preserve">04 75 64 30 11 </v>
      </c>
      <c r="L2145" s="1">
        <v>39539</v>
      </c>
      <c r="M2145" t="str">
        <f t="shared" si="337"/>
        <v>124</v>
      </c>
      <c r="N2145" t="str">
        <f t="shared" si="338"/>
        <v>Centre de Santé</v>
      </c>
      <c r="O2145" t="str">
        <f t="shared" si="339"/>
        <v>47</v>
      </c>
      <c r="P2145" t="str">
        <f t="shared" si="340"/>
        <v>Société Mutualiste</v>
      </c>
      <c r="Q2145" t="str">
        <f t="shared" si="335"/>
        <v>36</v>
      </c>
      <c r="R2145" t="str">
        <f t="shared" si="336"/>
        <v>Tarifs conventionnels assurance maladie</v>
      </c>
      <c r="U2145" t="str">
        <f>"690048111"</f>
        <v>690048111</v>
      </c>
    </row>
    <row r="2146" spans="1:21" x14ac:dyDescent="0.3">
      <c r="A2146" t="str">
        <f>"260017736"</f>
        <v>260017736</v>
      </c>
      <c r="B2146" t="str">
        <f>"779 471 986 00751"</f>
        <v>779 471 986 00751</v>
      </c>
      <c r="D2146" t="str">
        <f>"CENTRE DE SANTE EOVI ROMANS-SUR-ISERE"</f>
        <v>CENTRE DE SANTE EOVI ROMANS-SUR-ISERE</v>
      </c>
      <c r="F2146" t="str">
        <f>"55 RUE PALESTRO"</f>
        <v>55 RUE PALESTRO</v>
      </c>
      <c r="H2146" t="str">
        <f>"26100"</f>
        <v>26100</v>
      </c>
      <c r="I2146" t="str">
        <f>"ROMANS SUR ISERE"</f>
        <v>ROMANS SUR ISERE</v>
      </c>
      <c r="J2146" t="str">
        <f>"04 75 48 54 84 "</f>
        <v xml:space="preserve">04 75 48 54 84 </v>
      </c>
      <c r="L2146" s="1">
        <v>39539</v>
      </c>
      <c r="M2146" t="str">
        <f t="shared" si="337"/>
        <v>124</v>
      </c>
      <c r="N2146" t="str">
        <f t="shared" si="338"/>
        <v>Centre de Santé</v>
      </c>
      <c r="O2146" t="str">
        <f t="shared" si="339"/>
        <v>47</v>
      </c>
      <c r="P2146" t="str">
        <f t="shared" si="340"/>
        <v>Société Mutualiste</v>
      </c>
      <c r="Q2146" t="str">
        <f t="shared" si="335"/>
        <v>36</v>
      </c>
      <c r="R2146" t="str">
        <f t="shared" si="336"/>
        <v>Tarifs conventionnels assurance maladie</v>
      </c>
      <c r="U2146" t="str">
        <f>"260007018"</f>
        <v>260007018</v>
      </c>
    </row>
    <row r="2147" spans="1:21" x14ac:dyDescent="0.3">
      <c r="A2147" t="str">
        <f>"840016448"</f>
        <v>840016448</v>
      </c>
      <c r="B2147" t="str">
        <f>"491 147 880 00034"</f>
        <v>491 147 880 00034</v>
      </c>
      <c r="D2147" t="str">
        <f>"CDS DENTAIRE"</f>
        <v>CDS DENTAIRE</v>
      </c>
      <c r="F2147" t="str">
        <f>"1238 AVENUE JOHN FITZGERALD KENNEDY"</f>
        <v>1238 AVENUE JOHN FITZGERALD KENNEDY</v>
      </c>
      <c r="H2147" t="str">
        <f>"84200"</f>
        <v>84200</v>
      </c>
      <c r="I2147" t="str">
        <f>"CARPENTRAS"</f>
        <v>CARPENTRAS</v>
      </c>
      <c r="J2147" t="str">
        <f>"04 90 30 41 05 "</f>
        <v xml:space="preserve">04 90 30 41 05 </v>
      </c>
      <c r="L2147" s="1">
        <v>39527</v>
      </c>
      <c r="M2147" t="str">
        <f t="shared" si="337"/>
        <v>124</v>
      </c>
      <c r="N2147" t="str">
        <f t="shared" si="338"/>
        <v>Centre de Santé</v>
      </c>
      <c r="O2147" t="str">
        <f t="shared" si="339"/>
        <v>47</v>
      </c>
      <c r="P2147" t="str">
        <f t="shared" si="340"/>
        <v>Société Mutualiste</v>
      </c>
      <c r="Q2147" t="str">
        <f t="shared" si="335"/>
        <v>36</v>
      </c>
      <c r="R2147" t="str">
        <f t="shared" si="336"/>
        <v>Tarifs conventionnels assurance maladie</v>
      </c>
      <c r="U2147" t="str">
        <f>"840016398"</f>
        <v>840016398</v>
      </c>
    </row>
    <row r="2148" spans="1:21" x14ac:dyDescent="0.3">
      <c r="A2148" t="str">
        <f>"840016489"</f>
        <v>840016489</v>
      </c>
      <c r="B2148" t="str">
        <f>"491 147 880 00042"</f>
        <v>491 147 880 00042</v>
      </c>
      <c r="D2148" t="str">
        <f>"CDS DENTAIRE"</f>
        <v>CDS DENTAIRE</v>
      </c>
      <c r="F2148" t="str">
        <f>"34 COURS GAMBETTA"</f>
        <v>34 COURS GAMBETTA</v>
      </c>
      <c r="H2148" t="str">
        <f>"84300"</f>
        <v>84300</v>
      </c>
      <c r="I2148" t="str">
        <f>"CAVAILLON"</f>
        <v>CAVAILLON</v>
      </c>
      <c r="J2148" t="str">
        <f>"04 90 75 19 16 "</f>
        <v xml:space="preserve">04 90 75 19 16 </v>
      </c>
      <c r="L2148" s="1">
        <v>39527</v>
      </c>
      <c r="M2148" t="str">
        <f t="shared" si="337"/>
        <v>124</v>
      </c>
      <c r="N2148" t="str">
        <f t="shared" si="338"/>
        <v>Centre de Santé</v>
      </c>
      <c r="O2148" t="str">
        <f t="shared" si="339"/>
        <v>47</v>
      </c>
      <c r="P2148" t="str">
        <f t="shared" si="340"/>
        <v>Société Mutualiste</v>
      </c>
      <c r="Q2148" t="str">
        <f t="shared" ref="Q2148:Q2211" si="341">"36"</f>
        <v>36</v>
      </c>
      <c r="R2148" t="str">
        <f t="shared" ref="R2148:R2211" si="342">"Tarifs conventionnels assurance maladie"</f>
        <v>Tarifs conventionnels assurance maladie</v>
      </c>
      <c r="U2148" t="str">
        <f>"840016398"</f>
        <v>840016398</v>
      </c>
    </row>
    <row r="2149" spans="1:21" x14ac:dyDescent="0.3">
      <c r="A2149" t="str">
        <f>"630008399"</f>
        <v>630008399</v>
      </c>
      <c r="B2149" t="str">
        <f>"779 283 001 00070"</f>
        <v>779 283 001 00070</v>
      </c>
      <c r="D2149" t="str">
        <f>"CENTRE DENTAIRE MUTUALISTE"</f>
        <v>CENTRE DENTAIRE MUTUALISTE</v>
      </c>
      <c r="F2149" t="str">
        <f>"36 AVENUE DU GENERAL DE GAULLE"</f>
        <v>36 AVENUE DU GENERAL DE GAULLE</v>
      </c>
      <c r="H2149" t="str">
        <f>"63300"</f>
        <v>63300</v>
      </c>
      <c r="I2149" t="str">
        <f>"THIERS"</f>
        <v>THIERS</v>
      </c>
      <c r="J2149" t="str">
        <f>"04 73 53 80 25 "</f>
        <v xml:space="preserve">04 73 53 80 25 </v>
      </c>
      <c r="K2149" t="str">
        <f>"04 73 53 80 27"</f>
        <v>04 73 53 80 27</v>
      </c>
      <c r="L2149" s="1">
        <v>39517</v>
      </c>
      <c r="M2149" t="str">
        <f t="shared" si="337"/>
        <v>124</v>
      </c>
      <c r="N2149" t="str">
        <f t="shared" si="338"/>
        <v>Centre de Santé</v>
      </c>
      <c r="O2149" t="str">
        <f t="shared" si="339"/>
        <v>47</v>
      </c>
      <c r="P2149" t="str">
        <f t="shared" si="340"/>
        <v>Société Mutualiste</v>
      </c>
      <c r="Q2149" t="str">
        <f t="shared" si="341"/>
        <v>36</v>
      </c>
      <c r="R2149" t="str">
        <f t="shared" si="342"/>
        <v>Tarifs conventionnels assurance maladie</v>
      </c>
      <c r="U2149" t="str">
        <f>"630789725"</f>
        <v>630789725</v>
      </c>
    </row>
    <row r="2150" spans="1:21" x14ac:dyDescent="0.3">
      <c r="A2150" t="str">
        <f>"280006552"</f>
        <v>280006552</v>
      </c>
      <c r="B2150" t="str">
        <f>"775 347 891 01561"</f>
        <v>775 347 891 01561</v>
      </c>
      <c r="D2150" t="str">
        <f>"CENTRE DE SANTE DENTAIRE VYV3"</f>
        <v>CENTRE DE SANTE DENTAIRE VYV3</v>
      </c>
      <c r="F2150" t="str">
        <f>"14 PLACE DES EPARS"</f>
        <v>14 PLACE DES EPARS</v>
      </c>
      <c r="H2150" t="str">
        <f>"28000"</f>
        <v>28000</v>
      </c>
      <c r="I2150" t="str">
        <f>"CHARTRES"</f>
        <v>CHARTRES</v>
      </c>
      <c r="J2150" t="str">
        <f>"02 37 21 47 56 "</f>
        <v xml:space="preserve">02 37 21 47 56 </v>
      </c>
      <c r="K2150" t="str">
        <f>"02 37 21 98 82"</f>
        <v>02 37 21 98 82</v>
      </c>
      <c r="L2150" s="1">
        <v>39497</v>
      </c>
      <c r="M2150" t="str">
        <f t="shared" si="337"/>
        <v>124</v>
      </c>
      <c r="N2150" t="str">
        <f t="shared" si="338"/>
        <v>Centre de Santé</v>
      </c>
      <c r="O2150" t="str">
        <f t="shared" si="339"/>
        <v>47</v>
      </c>
      <c r="P2150" t="str">
        <f t="shared" si="340"/>
        <v>Société Mutualiste</v>
      </c>
      <c r="Q2150" t="str">
        <f t="shared" si="341"/>
        <v>36</v>
      </c>
      <c r="R2150" t="str">
        <f t="shared" si="342"/>
        <v>Tarifs conventionnels assurance maladie</v>
      </c>
      <c r="U2150" t="str">
        <f>"370100935"</f>
        <v>370100935</v>
      </c>
    </row>
    <row r="2151" spans="1:21" x14ac:dyDescent="0.3">
      <c r="A2151" t="str">
        <f>"340799105"</f>
        <v>340799105</v>
      </c>
      <c r="D2151" t="str">
        <f>"CDS DENTAIRE UGRM"</f>
        <v>CDS DENTAIRE UGRM</v>
      </c>
      <c r="F2151" t="str">
        <f>"19 RUE PAUL VALERY"</f>
        <v>19 RUE PAUL VALERY</v>
      </c>
      <c r="H2151" t="str">
        <f>"34200"</f>
        <v>34200</v>
      </c>
      <c r="I2151" t="str">
        <f>"SETE"</f>
        <v>SETE</v>
      </c>
      <c r="J2151" t="str">
        <f>"04 67 74 03 97 "</f>
        <v xml:space="preserve">04 67 74 03 97 </v>
      </c>
      <c r="K2151" t="str">
        <f>"04 67 74 93 43"</f>
        <v>04 67 74 93 43</v>
      </c>
      <c r="L2151" s="1">
        <v>39493</v>
      </c>
      <c r="M2151" t="str">
        <f t="shared" si="337"/>
        <v>124</v>
      </c>
      <c r="N2151" t="str">
        <f t="shared" si="338"/>
        <v>Centre de Santé</v>
      </c>
      <c r="O2151" t="str">
        <f t="shared" si="339"/>
        <v>47</v>
      </c>
      <c r="P2151" t="str">
        <f t="shared" si="340"/>
        <v>Société Mutualiste</v>
      </c>
      <c r="Q2151" t="str">
        <f t="shared" si="341"/>
        <v>36</v>
      </c>
      <c r="R2151" t="str">
        <f t="shared" si="342"/>
        <v>Tarifs conventionnels assurance maladie</v>
      </c>
      <c r="U2151" t="str">
        <f>"310791223"</f>
        <v>310791223</v>
      </c>
    </row>
    <row r="2152" spans="1:21" x14ac:dyDescent="0.3">
      <c r="A2152" t="str">
        <f>"920018058"</f>
        <v>920018058</v>
      </c>
      <c r="B2152" t="str">
        <f>"520 116 831 00014"</f>
        <v>520 116 831 00014</v>
      </c>
      <c r="D2152" t="str">
        <f>"CDS MEDICO-DENTAIRE CARNOT"</f>
        <v>CDS MEDICO-DENTAIRE CARNOT</v>
      </c>
      <c r="F2152" t="str">
        <f>"54 RUE CARNOT"</f>
        <v>54 RUE CARNOT</v>
      </c>
      <c r="H2152" t="str">
        <f>"92300"</f>
        <v>92300</v>
      </c>
      <c r="I2152" t="str">
        <f>"LEVALLOIS PERRET"</f>
        <v>LEVALLOIS PERRET</v>
      </c>
      <c r="J2152" t="str">
        <f>"01 47 57 81 70 "</f>
        <v xml:space="preserve">01 47 57 81 70 </v>
      </c>
      <c r="L2152" s="1">
        <v>39461</v>
      </c>
      <c r="M2152" t="str">
        <f t="shared" si="337"/>
        <v>124</v>
      </c>
      <c r="N2152" t="str">
        <f t="shared" si="338"/>
        <v>Centre de Santé</v>
      </c>
      <c r="O2152" t="str">
        <f>"60"</f>
        <v>60</v>
      </c>
      <c r="P2152" t="str">
        <f>"Association Loi 1901 non Reconnue d'Utilité Publique"</f>
        <v>Association Loi 1901 non Reconnue d'Utilité Publique</v>
      </c>
      <c r="Q2152" t="str">
        <f t="shared" si="341"/>
        <v>36</v>
      </c>
      <c r="R2152" t="str">
        <f t="shared" si="342"/>
        <v>Tarifs conventionnels assurance maladie</v>
      </c>
      <c r="U2152" t="str">
        <f>"920018009"</f>
        <v>920018009</v>
      </c>
    </row>
    <row r="2153" spans="1:21" x14ac:dyDescent="0.3">
      <c r="A2153" t="str">
        <f>"300012341"</f>
        <v>300012341</v>
      </c>
      <c r="B2153" t="str">
        <f>"813 179 793 00241"</f>
        <v>813 179 793 00241</v>
      </c>
      <c r="D2153" t="str">
        <f>"CDS DENTAIRE MFGS SSAM ALES"</f>
        <v>CDS DENTAIRE MFGS SSAM ALES</v>
      </c>
      <c r="E2153" t="str">
        <f>"ROCADE SUD"</f>
        <v>ROCADE SUD</v>
      </c>
      <c r="F2153" t="str">
        <f>"1143 CHEMIN DES DUPINES"</f>
        <v>1143 CHEMIN DES DUPINES</v>
      </c>
      <c r="H2153" t="str">
        <f>"30100"</f>
        <v>30100</v>
      </c>
      <c r="I2153" t="str">
        <f>"ALES"</f>
        <v>ALES</v>
      </c>
      <c r="J2153" t="str">
        <f>"04 66 91 22 40 "</f>
        <v xml:space="preserve">04 66 91 22 40 </v>
      </c>
      <c r="K2153" t="str">
        <f>"04 66 04 30 35"</f>
        <v>04 66 04 30 35</v>
      </c>
      <c r="L2153" s="1">
        <v>39449</v>
      </c>
      <c r="M2153" t="str">
        <f t="shared" si="337"/>
        <v>124</v>
      </c>
      <c r="N2153" t="str">
        <f t="shared" si="338"/>
        <v>Centre de Santé</v>
      </c>
      <c r="O2153" t="str">
        <f>"47"</f>
        <v>47</v>
      </c>
      <c r="P2153" t="str">
        <f>"Société Mutualiste"</f>
        <v>Société Mutualiste</v>
      </c>
      <c r="Q2153" t="str">
        <f t="shared" si="341"/>
        <v>36</v>
      </c>
      <c r="R2153" t="str">
        <f t="shared" si="342"/>
        <v>Tarifs conventionnels assurance maladie</v>
      </c>
      <c r="U2153" t="str">
        <f>"340023209"</f>
        <v>340023209</v>
      </c>
    </row>
    <row r="2154" spans="1:21" x14ac:dyDescent="0.3">
      <c r="A2154" t="str">
        <f>"420781684"</f>
        <v>420781684</v>
      </c>
      <c r="B2154" t="str">
        <f>"775 602 527 00126"</f>
        <v>775 602 527 00126</v>
      </c>
      <c r="D2154" t="str">
        <f>"CENTRE DE SANTE AIMV CHAZELLES"</f>
        <v>CENTRE DE SANTE AIMV CHAZELLES</v>
      </c>
      <c r="F2154" t="str">
        <f>"22 RUE JEAN JAURES"</f>
        <v>22 RUE JEAN JAURES</v>
      </c>
      <c r="H2154" t="str">
        <f>"42140"</f>
        <v>42140</v>
      </c>
      <c r="I2154" t="str">
        <f>"CHAZELLES SUR LYON"</f>
        <v>CHAZELLES SUR LYON</v>
      </c>
      <c r="J2154" t="str">
        <f>"04 77 54 25 90 "</f>
        <v xml:space="preserve">04 77 54 25 90 </v>
      </c>
      <c r="K2154" t="str">
        <f>"04 77 47 11 38"</f>
        <v>04 77 47 11 38</v>
      </c>
      <c r="L2154" s="1">
        <v>39448</v>
      </c>
      <c r="M2154" t="str">
        <f t="shared" si="337"/>
        <v>124</v>
      </c>
      <c r="N2154" t="str">
        <f t="shared" si="338"/>
        <v>Centre de Santé</v>
      </c>
      <c r="O2154" t="str">
        <f>"60"</f>
        <v>60</v>
      </c>
      <c r="P2154" t="str">
        <f>"Association Loi 1901 non Reconnue d'Utilité Publique"</f>
        <v>Association Loi 1901 non Reconnue d'Utilité Publique</v>
      </c>
      <c r="Q2154" t="str">
        <f t="shared" si="341"/>
        <v>36</v>
      </c>
      <c r="R2154" t="str">
        <f t="shared" si="342"/>
        <v>Tarifs conventionnels assurance maladie</v>
      </c>
      <c r="U2154" t="str">
        <f>"420787095"</f>
        <v>420787095</v>
      </c>
    </row>
    <row r="2155" spans="1:21" x14ac:dyDescent="0.3">
      <c r="A2155" t="str">
        <f>"690023213"</f>
        <v>690023213</v>
      </c>
      <c r="B2155" t="str">
        <f>"421 575 820 00327"</f>
        <v>421 575 820 00327</v>
      </c>
      <c r="D2155" t="str">
        <f>"CENTRE DE SANTE LPA BETHANIE"</f>
        <v>CENTRE DE SANTE LPA BETHANIE</v>
      </c>
      <c r="E2155" t="str">
        <f>"1ER ETAGE"</f>
        <v>1ER ETAGE</v>
      </c>
      <c r="F2155" t="str">
        <f>"7 RUE BURAIS"</f>
        <v>7 RUE BURAIS</v>
      </c>
      <c r="H2155" t="str">
        <f>"69100"</f>
        <v>69100</v>
      </c>
      <c r="I2155" t="str">
        <f>"VILLEURBANNE"</f>
        <v>VILLEURBANNE</v>
      </c>
      <c r="J2155" t="str">
        <f>"04 37 91 82 00 "</f>
        <v xml:space="preserve">04 37 91 82 00 </v>
      </c>
      <c r="K2155" t="str">
        <f>"04 78 30 51 97"</f>
        <v>04 78 30 51 97</v>
      </c>
      <c r="L2155" s="1">
        <v>39448</v>
      </c>
      <c r="M2155" t="str">
        <f t="shared" si="337"/>
        <v>124</v>
      </c>
      <c r="N2155" t="str">
        <f t="shared" si="338"/>
        <v>Centre de Santé</v>
      </c>
      <c r="O2155" t="str">
        <f>"60"</f>
        <v>60</v>
      </c>
      <c r="P2155" t="str">
        <f>"Association Loi 1901 non Reconnue d'Utilité Publique"</f>
        <v>Association Loi 1901 non Reconnue d'Utilité Publique</v>
      </c>
      <c r="Q2155" t="str">
        <f t="shared" si="341"/>
        <v>36</v>
      </c>
      <c r="R2155" t="str">
        <f t="shared" si="342"/>
        <v>Tarifs conventionnels assurance maladie</v>
      </c>
      <c r="U2155" t="str">
        <f>"690003728"</f>
        <v>690003728</v>
      </c>
    </row>
    <row r="2156" spans="1:21" x14ac:dyDescent="0.3">
      <c r="A2156" t="str">
        <f>"740011739"</f>
        <v>740011739</v>
      </c>
      <c r="B2156" t="str">
        <f>"775 654 478 00483"</f>
        <v>775 654 478 00483</v>
      </c>
      <c r="D2156" t="str">
        <f>"CENTRE DE SANTE UMFMB BONS-EN-CHABLAIS"</f>
        <v>CENTRE DE SANTE UMFMB BONS-EN-CHABLAIS</v>
      </c>
      <c r="E2156" t="str">
        <f>"IMMEUBLE ALTEO"</f>
        <v>IMMEUBLE ALTEO</v>
      </c>
      <c r="F2156" t="str">
        <f>"134 AVENUE DU JURA"</f>
        <v>134 AVENUE DU JURA</v>
      </c>
      <c r="H2156" t="str">
        <f>"74890"</f>
        <v>74890</v>
      </c>
      <c r="I2156" t="str">
        <f>"BONS EN CHABLAIS"</f>
        <v>BONS EN CHABLAIS</v>
      </c>
      <c r="J2156" t="str">
        <f>"04 50 36 16 68 "</f>
        <v xml:space="preserve">04 50 36 16 68 </v>
      </c>
      <c r="K2156" t="str">
        <f>"04 50 31 19 33"</f>
        <v>04 50 31 19 33</v>
      </c>
      <c r="L2156" s="1">
        <v>39448</v>
      </c>
      <c r="M2156" t="str">
        <f t="shared" si="337"/>
        <v>124</v>
      </c>
      <c r="N2156" t="str">
        <f t="shared" si="338"/>
        <v>Centre de Santé</v>
      </c>
      <c r="O2156" t="str">
        <f>"47"</f>
        <v>47</v>
      </c>
      <c r="P2156" t="str">
        <f>"Société Mutualiste"</f>
        <v>Société Mutualiste</v>
      </c>
      <c r="Q2156" t="str">
        <f t="shared" si="341"/>
        <v>36</v>
      </c>
      <c r="R2156" t="str">
        <f t="shared" si="342"/>
        <v>Tarifs conventionnels assurance maladie</v>
      </c>
      <c r="U2156" t="str">
        <f>"740787791"</f>
        <v>740787791</v>
      </c>
    </row>
    <row r="2157" spans="1:21" x14ac:dyDescent="0.3">
      <c r="A2157" t="str">
        <f>"400009478"</f>
        <v>400009478</v>
      </c>
      <c r="B2157" t="str">
        <f>"390 749 547 00084"</f>
        <v>390 749 547 00084</v>
      </c>
      <c r="D2157" t="str">
        <f>"CENTRE DE SANTE DENTAIRE MUTUALISTE"</f>
        <v>CENTRE DE SANTE DENTAIRE MUTUALISTE</v>
      </c>
      <c r="F2157" t="str">
        <f>"29 RUE VICTOR HUGO"</f>
        <v>29 RUE VICTOR HUGO</v>
      </c>
      <c r="H2157" t="str">
        <f>"40100"</f>
        <v>40100</v>
      </c>
      <c r="I2157" t="str">
        <f>"DAX"</f>
        <v>DAX</v>
      </c>
      <c r="J2157" t="str">
        <f>"05 58 58 58 68 "</f>
        <v xml:space="preserve">05 58 58 58 68 </v>
      </c>
      <c r="K2157" t="str">
        <f>"05 58 58 58 69"</f>
        <v>05 58 58 58 69</v>
      </c>
      <c r="L2157" s="1">
        <v>39427</v>
      </c>
      <c r="M2157" t="str">
        <f t="shared" si="337"/>
        <v>124</v>
      </c>
      <c r="N2157" t="str">
        <f t="shared" si="338"/>
        <v>Centre de Santé</v>
      </c>
      <c r="O2157" t="str">
        <f>"47"</f>
        <v>47</v>
      </c>
      <c r="P2157" t="str">
        <f>"Société Mutualiste"</f>
        <v>Société Mutualiste</v>
      </c>
      <c r="Q2157" t="str">
        <f t="shared" si="341"/>
        <v>36</v>
      </c>
      <c r="R2157" t="str">
        <f t="shared" si="342"/>
        <v>Tarifs conventionnels assurance maladie</v>
      </c>
      <c r="U2157" t="str">
        <f>"400011300"</f>
        <v>400011300</v>
      </c>
    </row>
    <row r="2158" spans="1:21" x14ac:dyDescent="0.3">
      <c r="A2158" t="str">
        <f>"750048514"</f>
        <v>750048514</v>
      </c>
      <c r="B2158" t="str">
        <f>"528 068 778 00026"</f>
        <v>528 068 778 00026</v>
      </c>
      <c r="D2158" t="str">
        <f>"CDS DENTAIRE ORNANO"</f>
        <v>CDS DENTAIRE ORNANO</v>
      </c>
      <c r="F2158" t="str">
        <f>"24 BOULEVARD ORNANO"</f>
        <v>24 BOULEVARD ORNANO</v>
      </c>
      <c r="H2158" t="str">
        <f>"75018"</f>
        <v>75018</v>
      </c>
      <c r="I2158" t="str">
        <f>"PARIS"</f>
        <v>PARIS</v>
      </c>
      <c r="J2158" t="str">
        <f>"01 53 28 29 94 "</f>
        <v xml:space="preserve">01 53 28 29 94 </v>
      </c>
      <c r="L2158" s="1">
        <v>39407</v>
      </c>
      <c r="M2158" t="str">
        <f t="shared" si="337"/>
        <v>124</v>
      </c>
      <c r="N2158" t="str">
        <f t="shared" si="338"/>
        <v>Centre de Santé</v>
      </c>
      <c r="O2158" t="str">
        <f>"60"</f>
        <v>60</v>
      </c>
      <c r="P2158" t="str">
        <f>"Association Loi 1901 non Reconnue d'Utilité Publique"</f>
        <v>Association Loi 1901 non Reconnue d'Utilité Publique</v>
      </c>
      <c r="Q2158" t="str">
        <f t="shared" si="341"/>
        <v>36</v>
      </c>
      <c r="R2158" t="str">
        <f t="shared" si="342"/>
        <v>Tarifs conventionnels assurance maladie</v>
      </c>
      <c r="U2158" t="str">
        <f>"930023247"</f>
        <v>930023247</v>
      </c>
    </row>
    <row r="2159" spans="1:21" x14ac:dyDescent="0.3">
      <c r="A2159" t="str">
        <f>"130023898"</f>
        <v>130023898</v>
      </c>
      <c r="D2159" t="str">
        <f>"CDS DENTAIRE"</f>
        <v>CDS DENTAIRE</v>
      </c>
      <c r="F2159" t="str">
        <f>"13 ALLEE LEON GAMBETTA"</f>
        <v>13 ALLEE LEON GAMBETTA</v>
      </c>
      <c r="H2159" t="str">
        <f>"13001"</f>
        <v>13001</v>
      </c>
      <c r="I2159" t="str">
        <f>"MARSEILLE"</f>
        <v>MARSEILLE</v>
      </c>
      <c r="J2159" t="str">
        <f>"04 91 95 07 45 "</f>
        <v xml:space="preserve">04 91 95 07 45 </v>
      </c>
      <c r="L2159" s="1">
        <v>39400</v>
      </c>
      <c r="M2159" t="str">
        <f t="shared" si="337"/>
        <v>124</v>
      </c>
      <c r="N2159" t="str">
        <f t="shared" si="338"/>
        <v>Centre de Santé</v>
      </c>
      <c r="O2159" t="str">
        <f>"60"</f>
        <v>60</v>
      </c>
      <c r="P2159" t="str">
        <f>"Association Loi 1901 non Reconnue d'Utilité Publique"</f>
        <v>Association Loi 1901 non Reconnue d'Utilité Publique</v>
      </c>
      <c r="Q2159" t="str">
        <f t="shared" si="341"/>
        <v>36</v>
      </c>
      <c r="R2159" t="str">
        <f t="shared" si="342"/>
        <v>Tarifs conventionnels assurance maladie</v>
      </c>
      <c r="U2159" t="str">
        <f>"840019210"</f>
        <v>840019210</v>
      </c>
    </row>
    <row r="2160" spans="1:21" x14ac:dyDescent="0.3">
      <c r="A2160" t="str">
        <f>"670010719"</f>
        <v>670010719</v>
      </c>
      <c r="B2160" t="str">
        <f>"311 127 781 00095"</f>
        <v>311 127 781 00095</v>
      </c>
      <c r="D2160" t="str">
        <f>"CENTRE DE SOINS INFIRMIERS DE LEMBACH"</f>
        <v>CENTRE DE SOINS INFIRMIERS DE LEMBACH</v>
      </c>
      <c r="F2160" t="str">
        <f>"26 RUE DE WOERTH"</f>
        <v>26 RUE DE WOERTH</v>
      </c>
      <c r="H2160" t="str">
        <f>"67510"</f>
        <v>67510</v>
      </c>
      <c r="I2160" t="str">
        <f>"LEMBACH"</f>
        <v>LEMBACH</v>
      </c>
      <c r="J2160" t="str">
        <f>"03 88 94 40 31 "</f>
        <v xml:space="preserve">03 88 94 40 31 </v>
      </c>
      <c r="K2160" t="str">
        <f>"03 88 94 40 31"</f>
        <v>03 88 94 40 31</v>
      </c>
      <c r="L2160" s="1">
        <v>39356</v>
      </c>
      <c r="M2160" t="str">
        <f t="shared" si="337"/>
        <v>124</v>
      </c>
      <c r="N2160" t="str">
        <f t="shared" si="338"/>
        <v>Centre de Santé</v>
      </c>
      <c r="O2160" t="str">
        <f>"63"</f>
        <v>63</v>
      </c>
      <c r="P2160" t="str">
        <f>"Fondation"</f>
        <v>Fondation</v>
      </c>
      <c r="Q2160" t="str">
        <f t="shared" si="341"/>
        <v>36</v>
      </c>
      <c r="R2160" t="str">
        <f t="shared" si="342"/>
        <v>Tarifs conventionnels assurance maladie</v>
      </c>
      <c r="U2160" t="str">
        <f>"670000785"</f>
        <v>670000785</v>
      </c>
    </row>
    <row r="2161" spans="1:21" x14ac:dyDescent="0.3">
      <c r="A2161" t="str">
        <f>"850011172"</f>
        <v>850011172</v>
      </c>
      <c r="B2161" t="str">
        <f>"844 881 417 00878"</f>
        <v>844 881 417 00878</v>
      </c>
      <c r="D2161" t="str">
        <f>"CENTRE DENTAIRE MUTUALISTE"</f>
        <v>CENTRE DENTAIRE MUTUALISTE</v>
      </c>
      <c r="F2161" t="str">
        <f>"11 RUE ENRICO FERMI"</f>
        <v>11 RUE ENRICO FERMI</v>
      </c>
      <c r="G2161" t="str">
        <f>"POLE ACTIV' OCEAN"</f>
        <v>POLE ACTIV' OCEAN</v>
      </c>
      <c r="H2161" t="str">
        <f>"85300"</f>
        <v>85300</v>
      </c>
      <c r="I2161" t="str">
        <f>"CHALLANS"</f>
        <v>CHALLANS</v>
      </c>
      <c r="J2161" t="str">
        <f>"02 51 93 45 65 "</f>
        <v xml:space="preserve">02 51 93 45 65 </v>
      </c>
      <c r="L2161" s="1">
        <v>39356</v>
      </c>
      <c r="M2161" t="str">
        <f t="shared" si="337"/>
        <v>124</v>
      </c>
      <c r="N2161" t="str">
        <f t="shared" si="338"/>
        <v>Centre de Santé</v>
      </c>
      <c r="O2161" t="str">
        <f>"47"</f>
        <v>47</v>
      </c>
      <c r="P2161" t="str">
        <f>"Société Mutualiste"</f>
        <v>Société Mutualiste</v>
      </c>
      <c r="Q2161" t="str">
        <f t="shared" si="341"/>
        <v>36</v>
      </c>
      <c r="R2161" t="str">
        <f t="shared" si="342"/>
        <v>Tarifs conventionnels assurance maladie</v>
      </c>
      <c r="U2161" t="str">
        <f>"850028085"</f>
        <v>850028085</v>
      </c>
    </row>
    <row r="2162" spans="1:21" x14ac:dyDescent="0.3">
      <c r="A2162" t="str">
        <f>"870016144"</f>
        <v>870016144</v>
      </c>
      <c r="B2162" t="str">
        <f>"198 706 699 00362"</f>
        <v>198 706 699 00362</v>
      </c>
      <c r="D2162" t="str">
        <f>"SERVICE DE SANTE UNIVERSITAIRE"</f>
        <v>SERVICE DE SANTE UNIVERSITAIRE</v>
      </c>
      <c r="E2162" t="str">
        <f>"BAT C"</f>
        <v>BAT C</v>
      </c>
      <c r="F2162" t="str">
        <f>"209 BOULEVARD DE VANTEAUX"</f>
        <v>209 BOULEVARD DE VANTEAUX</v>
      </c>
      <c r="H2162" t="str">
        <f>"87036"</f>
        <v>87036</v>
      </c>
      <c r="I2162" t="str">
        <f>"LIMOGES CEDEX 1"</f>
        <v>LIMOGES CEDEX 1</v>
      </c>
      <c r="J2162" t="str">
        <f>"05 55 43 57 70 "</f>
        <v xml:space="preserve">05 55 43 57 70 </v>
      </c>
      <c r="L2162" s="1">
        <v>39351</v>
      </c>
      <c r="M2162" t="str">
        <f t="shared" si="337"/>
        <v>124</v>
      </c>
      <c r="N2162" t="str">
        <f t="shared" si="338"/>
        <v>Centre de Santé</v>
      </c>
      <c r="O2162" t="str">
        <f>"26"</f>
        <v>26</v>
      </c>
      <c r="P2162" t="str">
        <f>"Autre Etablissement Public à Caractère Administratif"</f>
        <v>Autre Etablissement Public à Caractère Administratif</v>
      </c>
      <c r="Q2162" t="str">
        <f t="shared" si="341"/>
        <v>36</v>
      </c>
      <c r="R2162" t="str">
        <f t="shared" si="342"/>
        <v>Tarifs conventionnels assurance maladie</v>
      </c>
      <c r="U2162" t="str">
        <f>"870016136"</f>
        <v>870016136</v>
      </c>
    </row>
    <row r="2163" spans="1:21" x14ac:dyDescent="0.3">
      <c r="A2163" t="str">
        <f>"690790928"</f>
        <v>690790928</v>
      </c>
      <c r="D2163" t="str">
        <f>"CENTRE DE SANTE AIVAD MEYZIEU"</f>
        <v>CENTRE DE SANTE AIVAD MEYZIEU</v>
      </c>
      <c r="F2163" t="str">
        <f>"30 RUE LOUIS SAULNIER"</f>
        <v>30 RUE LOUIS SAULNIER</v>
      </c>
      <c r="H2163" t="str">
        <f>"69330"</f>
        <v>69330</v>
      </c>
      <c r="I2163" t="str">
        <f>"MEYZIEU"</f>
        <v>MEYZIEU</v>
      </c>
      <c r="J2163" t="str">
        <f>"04 78 31 81 67 "</f>
        <v xml:space="preserve">04 78 31 81 67 </v>
      </c>
      <c r="K2163" t="str">
        <f>"04 81 91 65 31"</f>
        <v>04 81 91 65 31</v>
      </c>
      <c r="L2163" s="1">
        <v>39326</v>
      </c>
      <c r="M2163" t="str">
        <f t="shared" si="337"/>
        <v>124</v>
      </c>
      <c r="N2163" t="str">
        <f t="shared" si="338"/>
        <v>Centre de Santé</v>
      </c>
      <c r="O2163" t="str">
        <f>"60"</f>
        <v>60</v>
      </c>
      <c r="P2163" t="str">
        <f>"Association Loi 1901 non Reconnue d'Utilité Publique"</f>
        <v>Association Loi 1901 non Reconnue d'Utilité Publique</v>
      </c>
      <c r="Q2163" t="str">
        <f t="shared" si="341"/>
        <v>36</v>
      </c>
      <c r="R2163" t="str">
        <f t="shared" si="342"/>
        <v>Tarifs conventionnels assurance maladie</v>
      </c>
      <c r="U2163" t="str">
        <f>"690026711"</f>
        <v>690026711</v>
      </c>
    </row>
    <row r="2164" spans="1:21" x14ac:dyDescent="0.3">
      <c r="A2164" t="str">
        <f>"900002650"</f>
        <v>900002650</v>
      </c>
      <c r="B2164" t="str">
        <f>"775 571 276 00580"</f>
        <v>775 571 276 00580</v>
      </c>
      <c r="D2164" t="str">
        <f>"CENTRE SANTE DENTAIRE MUTUALISTE ROPPE"</f>
        <v>CENTRE SANTE DENTAIRE MUTUALISTE ROPPE</v>
      </c>
      <c r="F2164" t="str">
        <f>"27 BIS AV GENERAL DE GAULLE"</f>
        <v>27 BIS AV GENERAL DE GAULLE</v>
      </c>
      <c r="H2164" t="str">
        <f>"90380"</f>
        <v>90380</v>
      </c>
      <c r="I2164" t="str">
        <f>"ROPPE"</f>
        <v>ROPPE</v>
      </c>
      <c r="J2164" t="str">
        <f>"03 84 29 01 34 "</f>
        <v xml:space="preserve">03 84 29 01 34 </v>
      </c>
      <c r="K2164" t="str">
        <f>"03 84 29 43 31"</f>
        <v>03 84 29 43 31</v>
      </c>
      <c r="L2164" s="1">
        <v>39321</v>
      </c>
      <c r="M2164" t="str">
        <f t="shared" si="337"/>
        <v>124</v>
      </c>
      <c r="N2164" t="str">
        <f t="shared" si="338"/>
        <v>Centre de Santé</v>
      </c>
      <c r="O2164" t="str">
        <f>"47"</f>
        <v>47</v>
      </c>
      <c r="P2164" t="str">
        <f>"Société Mutualiste"</f>
        <v>Société Mutualiste</v>
      </c>
      <c r="Q2164" t="str">
        <f t="shared" si="341"/>
        <v>36</v>
      </c>
      <c r="R2164" t="str">
        <f t="shared" si="342"/>
        <v>Tarifs conventionnels assurance maladie</v>
      </c>
      <c r="U2164" t="str">
        <f>"250001161"</f>
        <v>250001161</v>
      </c>
    </row>
    <row r="2165" spans="1:21" x14ac:dyDescent="0.3">
      <c r="A2165" t="str">
        <f>"260017058"</f>
        <v>260017058</v>
      </c>
      <c r="B2165" t="str">
        <f>"775 761 844 01344"</f>
        <v>775 761 844 01344</v>
      </c>
      <c r="D2165" t="str">
        <f>"CENTRE DE SANTE OXANCE PIERRELATTE"</f>
        <v>CENTRE DE SANTE OXANCE PIERRELATTE</v>
      </c>
      <c r="F2165" t="str">
        <f>"6 AVENUE DE LA GARE"</f>
        <v>6 AVENUE DE LA GARE</v>
      </c>
      <c r="H2165" t="str">
        <f>"26700"</f>
        <v>26700</v>
      </c>
      <c r="I2165" t="str">
        <f>"PIERRELATTE"</f>
        <v>PIERRELATTE</v>
      </c>
      <c r="J2165" t="str">
        <f>"04 75 05 66 86 "</f>
        <v xml:space="preserve">04 75 05 66 86 </v>
      </c>
      <c r="K2165" t="str">
        <f>"04 75 02 85 03"</f>
        <v>04 75 02 85 03</v>
      </c>
      <c r="L2165" s="1">
        <v>39295</v>
      </c>
      <c r="M2165" t="str">
        <f t="shared" si="337"/>
        <v>124</v>
      </c>
      <c r="N2165" t="str">
        <f t="shared" si="338"/>
        <v>Centre de Santé</v>
      </c>
      <c r="O2165" t="str">
        <f>"47"</f>
        <v>47</v>
      </c>
      <c r="P2165" t="str">
        <f>"Société Mutualiste"</f>
        <v>Société Mutualiste</v>
      </c>
      <c r="Q2165" t="str">
        <f t="shared" si="341"/>
        <v>36</v>
      </c>
      <c r="R2165" t="str">
        <f t="shared" si="342"/>
        <v>Tarifs conventionnels assurance maladie</v>
      </c>
      <c r="U2165" t="str">
        <f>"690048111"</f>
        <v>690048111</v>
      </c>
    </row>
    <row r="2166" spans="1:21" x14ac:dyDescent="0.3">
      <c r="A2166" t="str">
        <f>"510000490"</f>
        <v>510000490</v>
      </c>
      <c r="B2166" t="str">
        <f>"392 723 946 00019"</f>
        <v>392 723 946 00019</v>
      </c>
      <c r="D2166" t="str">
        <f>"CENTRE DE SANTE DU CHEMIN VERT"</f>
        <v>CENTRE DE SANTE DU CHEMIN VERT</v>
      </c>
      <c r="F2166" t="str">
        <f>"4 PLACE DU 11 NOVEMBRE"</f>
        <v>4 PLACE DU 11 NOVEMBRE</v>
      </c>
      <c r="H2166" t="str">
        <f>"51100"</f>
        <v>51100</v>
      </c>
      <c r="I2166" t="str">
        <f>"REIMS"</f>
        <v>REIMS</v>
      </c>
      <c r="J2166" t="str">
        <f>"03 26 05 74 50 "</f>
        <v xml:space="preserve">03 26 05 74 50 </v>
      </c>
      <c r="K2166" t="str">
        <f>"03 26 82 90 33"</f>
        <v>03 26 82 90 33</v>
      </c>
      <c r="L2166" s="1">
        <v>39268</v>
      </c>
      <c r="M2166" t="str">
        <f t="shared" si="337"/>
        <v>124</v>
      </c>
      <c r="N2166" t="str">
        <f t="shared" si="338"/>
        <v>Centre de Santé</v>
      </c>
      <c r="O2166" t="str">
        <f>"60"</f>
        <v>60</v>
      </c>
      <c r="P2166" t="str">
        <f>"Association Loi 1901 non Reconnue d'Utilité Publique"</f>
        <v>Association Loi 1901 non Reconnue d'Utilité Publique</v>
      </c>
      <c r="Q2166" t="str">
        <f t="shared" si="341"/>
        <v>36</v>
      </c>
      <c r="R2166" t="str">
        <f t="shared" si="342"/>
        <v>Tarifs conventionnels assurance maladie</v>
      </c>
      <c r="U2166" t="str">
        <f>"510000698"</f>
        <v>510000698</v>
      </c>
    </row>
    <row r="2167" spans="1:21" x14ac:dyDescent="0.3">
      <c r="A2167" t="str">
        <f>"690801873"</f>
        <v>690801873</v>
      </c>
      <c r="B2167" t="str">
        <f>"775 761 844 00569"</f>
        <v>775 761 844 00569</v>
      </c>
      <c r="D2167" t="str">
        <f>"CENTRE DE SANTE OXANCE LYON 7EME"</f>
        <v>CENTRE DE SANTE OXANCE LYON 7EME</v>
      </c>
      <c r="F2167" t="str">
        <f>"215 GRANDE RUE DE LA GUILLOTIERE"</f>
        <v>215 GRANDE RUE DE LA GUILLOTIERE</v>
      </c>
      <c r="H2167" t="str">
        <f>"69007"</f>
        <v>69007</v>
      </c>
      <c r="I2167" t="str">
        <f>"LYON"</f>
        <v>LYON</v>
      </c>
      <c r="J2167" t="str">
        <f>"04 78 72 76 07 "</f>
        <v xml:space="preserve">04 78 72 76 07 </v>
      </c>
      <c r="K2167" t="str">
        <f>"04 78 61 20 29"</f>
        <v>04 78 61 20 29</v>
      </c>
      <c r="L2167" s="1">
        <v>39264</v>
      </c>
      <c r="M2167" t="str">
        <f t="shared" si="337"/>
        <v>124</v>
      </c>
      <c r="N2167" t="str">
        <f t="shared" si="338"/>
        <v>Centre de Santé</v>
      </c>
      <c r="O2167" t="str">
        <f>"47"</f>
        <v>47</v>
      </c>
      <c r="P2167" t="str">
        <f>"Société Mutualiste"</f>
        <v>Société Mutualiste</v>
      </c>
      <c r="Q2167" t="str">
        <f t="shared" si="341"/>
        <v>36</v>
      </c>
      <c r="R2167" t="str">
        <f t="shared" si="342"/>
        <v>Tarifs conventionnels assurance maladie</v>
      </c>
      <c r="U2167" t="str">
        <f>"690048111"</f>
        <v>690048111</v>
      </c>
    </row>
    <row r="2168" spans="1:21" x14ac:dyDescent="0.3">
      <c r="A2168" t="str">
        <f>"250011178"</f>
        <v>250011178</v>
      </c>
      <c r="B2168" t="str">
        <f>"805 357 159 00260"</f>
        <v>805 357 159 00260</v>
      </c>
      <c r="D2168" t="str">
        <f>"CENTRE DE SANTE RENALE DE PONTARLIER"</f>
        <v>CENTRE DE SANTE RENALE DE PONTARLIER</v>
      </c>
      <c r="F2168" t="str">
        <f>"2 FAUBOURG SAINT ETIENNE"</f>
        <v>2 FAUBOURG SAINT ETIENNE</v>
      </c>
      <c r="H2168" t="str">
        <f>"25300"</f>
        <v>25300</v>
      </c>
      <c r="I2168" t="str">
        <f>"PONTARLIER"</f>
        <v>PONTARLIER</v>
      </c>
      <c r="J2168" t="str">
        <f>"03 81 39 46 25 "</f>
        <v xml:space="preserve">03 81 39 46 25 </v>
      </c>
      <c r="L2168" s="1">
        <v>39244</v>
      </c>
      <c r="M2168" t="str">
        <f t="shared" si="337"/>
        <v>124</v>
      </c>
      <c r="N2168" t="str">
        <f t="shared" si="338"/>
        <v>Centre de Santé</v>
      </c>
      <c r="O2168" t="str">
        <f>"61"</f>
        <v>61</v>
      </c>
      <c r="P2168" t="str">
        <f>"Association Loi 1901 Reconnue d'Utilité Publique"</f>
        <v>Association Loi 1901 Reconnue d'Utilité Publique</v>
      </c>
      <c r="Q2168" t="str">
        <f t="shared" si="341"/>
        <v>36</v>
      </c>
      <c r="R2168" t="str">
        <f t="shared" si="342"/>
        <v>Tarifs conventionnels assurance maladie</v>
      </c>
      <c r="U2168" t="str">
        <f>"210012290"</f>
        <v>210012290</v>
      </c>
    </row>
    <row r="2169" spans="1:21" x14ac:dyDescent="0.3">
      <c r="A2169" t="str">
        <f>"930020979"</f>
        <v>930020979</v>
      </c>
      <c r="B2169" t="str">
        <f>"751 068 545 00084"</f>
        <v>751 068 545 00084</v>
      </c>
      <c r="D2169" t="str">
        <f>"CDS MEDICAL ET DENTAIRE"</f>
        <v>CDS MEDICAL ET DENTAIRE</v>
      </c>
      <c r="F2169" t="str">
        <f>"2 RUE ARMAND CARREL"</f>
        <v>2 RUE ARMAND CARREL</v>
      </c>
      <c r="H2169" t="str">
        <f>"93100"</f>
        <v>93100</v>
      </c>
      <c r="I2169" t="str">
        <f>"MONTREUIL"</f>
        <v>MONTREUIL</v>
      </c>
      <c r="J2169" t="str">
        <f>"01 49 93 49 93 "</f>
        <v xml:space="preserve">01 49 93 49 93 </v>
      </c>
      <c r="K2169" t="str">
        <f>"01 48 51 72 16"</f>
        <v>01 48 51 72 16</v>
      </c>
      <c r="L2169" s="1">
        <v>39234</v>
      </c>
      <c r="M2169" t="str">
        <f t="shared" si="337"/>
        <v>124</v>
      </c>
      <c r="N2169" t="str">
        <f t="shared" si="338"/>
        <v>Centre de Santé</v>
      </c>
      <c r="O2169" t="str">
        <f>"60"</f>
        <v>60</v>
      </c>
      <c r="P2169" t="str">
        <f>"Association Loi 1901 non Reconnue d'Utilité Publique"</f>
        <v>Association Loi 1901 non Reconnue d'Utilité Publique</v>
      </c>
      <c r="Q2169" t="str">
        <f t="shared" si="341"/>
        <v>36</v>
      </c>
      <c r="R2169" t="str">
        <f t="shared" si="342"/>
        <v>Tarifs conventionnels assurance maladie</v>
      </c>
      <c r="U2169" t="str">
        <f>"750050767"</f>
        <v>750050767</v>
      </c>
    </row>
    <row r="2170" spans="1:21" x14ac:dyDescent="0.3">
      <c r="A2170" t="str">
        <f>"620019778"</f>
        <v>620019778</v>
      </c>
      <c r="D2170" t="str">
        <f>"CENTRE DE SANTE DENTAIRE"</f>
        <v>CENTRE DE SANTE DENTAIRE</v>
      </c>
      <c r="F2170" t="str">
        <f>"172 RUE D'HESDIN"</f>
        <v>172 RUE D'HESDIN</v>
      </c>
      <c r="H2170" t="str">
        <f>"62130"</f>
        <v>62130</v>
      </c>
      <c r="I2170" t="str">
        <f>"GAUCHIN VERLOINGT"</f>
        <v>GAUCHIN VERLOINGT</v>
      </c>
      <c r="J2170" t="str">
        <f>"03 21 03 53 21 "</f>
        <v xml:space="preserve">03 21 03 53 21 </v>
      </c>
      <c r="L2170" s="1">
        <v>39213</v>
      </c>
      <c r="M2170" t="str">
        <f t="shared" si="337"/>
        <v>124</v>
      </c>
      <c r="N2170" t="str">
        <f t="shared" si="338"/>
        <v>Centre de Santé</v>
      </c>
      <c r="O2170" t="str">
        <f>"47"</f>
        <v>47</v>
      </c>
      <c r="P2170" t="str">
        <f>"Société Mutualiste"</f>
        <v>Société Mutualiste</v>
      </c>
      <c r="Q2170" t="str">
        <f t="shared" si="341"/>
        <v>36</v>
      </c>
      <c r="R2170" t="str">
        <f t="shared" si="342"/>
        <v>Tarifs conventionnels assurance maladie</v>
      </c>
      <c r="U2170" t="str">
        <f>"590024469"</f>
        <v>590024469</v>
      </c>
    </row>
    <row r="2171" spans="1:21" x14ac:dyDescent="0.3">
      <c r="A2171" t="str">
        <f>"680017589"</f>
        <v>680017589</v>
      </c>
      <c r="B2171" t="str">
        <f>"317 164 689 00331"</f>
        <v>317 164 689 00331</v>
      </c>
      <c r="D2171" t="str">
        <f>"CDS SOINS INFIRMIERS DE LA LARGUE"</f>
        <v>CDS SOINS INFIRMIERS DE LA LARGUE</v>
      </c>
      <c r="F2171" t="str">
        <f>"8 PLACE DU MARCHE"</f>
        <v>8 PLACE DU MARCHE</v>
      </c>
      <c r="H2171" t="str">
        <f>"68580"</f>
        <v>68580</v>
      </c>
      <c r="I2171" t="str">
        <f>"SEPPOIS LE BAS"</f>
        <v>SEPPOIS LE BAS</v>
      </c>
      <c r="J2171" t="str">
        <f>"03 89 70 42 70 "</f>
        <v xml:space="preserve">03 89 70 42 70 </v>
      </c>
      <c r="K2171" t="str">
        <f>"03 89 70 42 76"</f>
        <v>03 89 70 42 76</v>
      </c>
      <c r="L2171" s="1">
        <v>39213</v>
      </c>
      <c r="M2171" t="str">
        <f t="shared" si="337"/>
        <v>124</v>
      </c>
      <c r="N2171" t="str">
        <f t="shared" si="338"/>
        <v>Centre de Santé</v>
      </c>
      <c r="O2171" t="str">
        <f>"62"</f>
        <v>62</v>
      </c>
      <c r="P2171" t="str">
        <f>"Association de Droit Local"</f>
        <v>Association de Droit Local</v>
      </c>
      <c r="Q2171" t="str">
        <f t="shared" si="341"/>
        <v>36</v>
      </c>
      <c r="R2171" t="str">
        <f t="shared" si="342"/>
        <v>Tarifs conventionnels assurance maladie</v>
      </c>
      <c r="U2171" t="str">
        <f>"680013919"</f>
        <v>680013919</v>
      </c>
    </row>
    <row r="2172" spans="1:21" x14ac:dyDescent="0.3">
      <c r="A2172" t="str">
        <f>"680017639"</f>
        <v>680017639</v>
      </c>
      <c r="B2172" t="str">
        <f>"317 164 689 00265"</f>
        <v>317 164 689 00265</v>
      </c>
      <c r="D2172" t="str">
        <f>"CENTRE DE SOINS INFIRMIERS DES COTEAUX"</f>
        <v>CENTRE DE SOINS INFIRMIERS DES COTEAUX</v>
      </c>
      <c r="F2172" t="str">
        <f>"33 RUE MATHIAS GRUNEWALD"</f>
        <v>33 RUE MATHIAS GRUNEWALD</v>
      </c>
      <c r="H2172" t="str">
        <f>"68200"</f>
        <v>68200</v>
      </c>
      <c r="I2172" t="str">
        <f>"MULHOUSE"</f>
        <v>MULHOUSE</v>
      </c>
      <c r="L2172" s="1">
        <v>39213</v>
      </c>
      <c r="M2172" t="str">
        <f t="shared" si="337"/>
        <v>124</v>
      </c>
      <c r="N2172" t="str">
        <f t="shared" si="338"/>
        <v>Centre de Santé</v>
      </c>
      <c r="O2172" t="str">
        <f>"62"</f>
        <v>62</v>
      </c>
      <c r="P2172" t="str">
        <f>"Association de Droit Local"</f>
        <v>Association de Droit Local</v>
      </c>
      <c r="Q2172" t="str">
        <f t="shared" si="341"/>
        <v>36</v>
      </c>
      <c r="R2172" t="str">
        <f t="shared" si="342"/>
        <v>Tarifs conventionnels assurance maladie</v>
      </c>
      <c r="U2172" t="str">
        <f>"680013919"</f>
        <v>680013919</v>
      </c>
    </row>
    <row r="2173" spans="1:21" x14ac:dyDescent="0.3">
      <c r="A2173" t="str">
        <f>"930020953"</f>
        <v>930020953</v>
      </c>
      <c r="B2173" t="str">
        <f>"499 478 733 00011"</f>
        <v>499 478 733 00011</v>
      </c>
      <c r="D2173" t="str">
        <f>"CDS CARNOT"</f>
        <v>CDS CARNOT</v>
      </c>
      <c r="F2173" t="str">
        <f>"30 RUE MARCEL PAUL"</f>
        <v>30 RUE MARCEL PAUL</v>
      </c>
      <c r="H2173" t="str">
        <f>"93700"</f>
        <v>93700</v>
      </c>
      <c r="I2173" t="str">
        <f>"DRANCY"</f>
        <v>DRANCY</v>
      </c>
      <c r="J2173" t="str">
        <f>"01 41 50 05 81 "</f>
        <v xml:space="preserve">01 41 50 05 81 </v>
      </c>
      <c r="K2173" t="str">
        <f>"01 41 50 05 81"</f>
        <v>01 41 50 05 81</v>
      </c>
      <c r="L2173" s="1">
        <v>39206</v>
      </c>
      <c r="M2173" t="str">
        <f t="shared" si="337"/>
        <v>124</v>
      </c>
      <c r="N2173" t="str">
        <f t="shared" si="338"/>
        <v>Centre de Santé</v>
      </c>
      <c r="O2173" t="str">
        <f>"60"</f>
        <v>60</v>
      </c>
      <c r="P2173" t="str">
        <f>"Association Loi 1901 non Reconnue d'Utilité Publique"</f>
        <v>Association Loi 1901 non Reconnue d'Utilité Publique</v>
      </c>
      <c r="Q2173" t="str">
        <f t="shared" si="341"/>
        <v>36</v>
      </c>
      <c r="R2173" t="str">
        <f t="shared" si="342"/>
        <v>Tarifs conventionnels assurance maladie</v>
      </c>
      <c r="U2173" t="str">
        <f>"930020946"</f>
        <v>930020946</v>
      </c>
    </row>
    <row r="2174" spans="1:21" x14ac:dyDescent="0.3">
      <c r="A2174" t="str">
        <f>"360002638"</f>
        <v>360002638</v>
      </c>
      <c r="B2174" t="str">
        <f>"775 347 891 00621"</f>
        <v>775 347 891 00621</v>
      </c>
      <c r="D2174" t="str">
        <f>"CENTRE DE SANTE DENTAIRE"</f>
        <v>CENTRE DE SANTE DENTAIRE</v>
      </c>
      <c r="F2174" t="str">
        <f>"2 RUE DES GIBOIRES"</f>
        <v>2 RUE DES GIBOIRES</v>
      </c>
      <c r="H2174" t="str">
        <f>"36100"</f>
        <v>36100</v>
      </c>
      <c r="I2174" t="str">
        <f>"ISSOUDUN"</f>
        <v>ISSOUDUN</v>
      </c>
      <c r="J2174" t="str">
        <f>"02 54 21 18 91 "</f>
        <v xml:space="preserve">02 54 21 18 91 </v>
      </c>
      <c r="K2174" t="str">
        <f>"02 54 21 19 07"</f>
        <v>02 54 21 19 07</v>
      </c>
      <c r="L2174" s="1">
        <v>39182</v>
      </c>
      <c r="M2174" t="str">
        <f t="shared" si="337"/>
        <v>124</v>
      </c>
      <c r="N2174" t="str">
        <f t="shared" si="338"/>
        <v>Centre de Santé</v>
      </c>
      <c r="O2174" t="str">
        <f>"47"</f>
        <v>47</v>
      </c>
      <c r="P2174" t="str">
        <f>"Société Mutualiste"</f>
        <v>Société Mutualiste</v>
      </c>
      <c r="Q2174" t="str">
        <f t="shared" si="341"/>
        <v>36</v>
      </c>
      <c r="R2174" t="str">
        <f t="shared" si="342"/>
        <v>Tarifs conventionnels assurance maladie</v>
      </c>
      <c r="U2174" t="str">
        <f>"370100935"</f>
        <v>370100935</v>
      </c>
    </row>
    <row r="2175" spans="1:21" x14ac:dyDescent="0.3">
      <c r="A2175" t="str">
        <f>"750046146"</f>
        <v>750046146</v>
      </c>
      <c r="B2175" t="str">
        <f>"444 410 674 00097"</f>
        <v>444 410 674 00097</v>
      </c>
      <c r="D2175" t="str">
        <f>"CDS MEDICALE ET DENTAIRE CLIGNANCOURT"</f>
        <v>CDS MEDICALE ET DENTAIRE CLIGNANCOURT</v>
      </c>
      <c r="F2175" t="str">
        <f>"138 RUE DE CLIGNANCOURT"</f>
        <v>138 RUE DE CLIGNANCOURT</v>
      </c>
      <c r="H2175" t="str">
        <f>"75018"</f>
        <v>75018</v>
      </c>
      <c r="I2175" t="str">
        <f>"PARIS"</f>
        <v>PARIS</v>
      </c>
      <c r="J2175" t="str">
        <f>"09 69 39 11 70 "</f>
        <v xml:space="preserve">09 69 39 11 70 </v>
      </c>
      <c r="L2175" s="1">
        <v>39177</v>
      </c>
      <c r="M2175" t="str">
        <f t="shared" si="337"/>
        <v>124</v>
      </c>
      <c r="N2175" t="str">
        <f t="shared" si="338"/>
        <v>Centre de Santé</v>
      </c>
      <c r="O2175" t="str">
        <f>"47"</f>
        <v>47</v>
      </c>
      <c r="P2175" t="str">
        <f>"Société Mutualiste"</f>
        <v>Société Mutualiste</v>
      </c>
      <c r="Q2175" t="str">
        <f t="shared" si="341"/>
        <v>36</v>
      </c>
      <c r="R2175" t="str">
        <f t="shared" si="342"/>
        <v>Tarifs conventionnels assurance maladie</v>
      </c>
      <c r="U2175" t="str">
        <f>"750003527"</f>
        <v>750003527</v>
      </c>
    </row>
    <row r="2176" spans="1:21" x14ac:dyDescent="0.3">
      <c r="A2176" t="str">
        <f>"120783048"</f>
        <v>120783048</v>
      </c>
      <c r="B2176" t="str">
        <f>"442 491 197 00509"</f>
        <v>442 491 197 00509</v>
      </c>
      <c r="D2176" t="str">
        <f>"CENTRE DE SOINS INFIRMIERS"</f>
        <v>CENTRE DE SOINS INFIRMIERS</v>
      </c>
      <c r="E2176" t="str">
        <f>"MAISON DE SANTE"</f>
        <v>MAISON DE SANTE</v>
      </c>
      <c r="F2176" t="str">
        <f>"AVENUE DU 10 AOUT"</f>
        <v>AVENUE DU 10 AOUT</v>
      </c>
      <c r="H2176" t="str">
        <f>"12300"</f>
        <v>12300</v>
      </c>
      <c r="I2176" t="str">
        <f>"DECAZEVILLE"</f>
        <v>DECAZEVILLE</v>
      </c>
      <c r="J2176" t="str">
        <f>"05 65 43 05 41 "</f>
        <v xml:space="preserve">05 65 43 05 41 </v>
      </c>
      <c r="L2176" s="1">
        <v>39176</v>
      </c>
      <c r="M2176" t="str">
        <f t="shared" si="337"/>
        <v>124</v>
      </c>
      <c r="N2176" t="str">
        <f t="shared" si="338"/>
        <v>Centre de Santé</v>
      </c>
      <c r="O2176" t="str">
        <f>"47"</f>
        <v>47</v>
      </c>
      <c r="P2176" t="str">
        <f>"Société Mutualiste"</f>
        <v>Société Mutualiste</v>
      </c>
      <c r="Q2176" t="str">
        <f t="shared" si="341"/>
        <v>36</v>
      </c>
      <c r="R2176" t="str">
        <f t="shared" si="342"/>
        <v>Tarifs conventionnels assurance maladie</v>
      </c>
      <c r="U2176" t="str">
        <f>"120784616"</f>
        <v>120784616</v>
      </c>
    </row>
    <row r="2177" spans="1:21" x14ac:dyDescent="0.3">
      <c r="A2177" t="str">
        <f>"620114058"</f>
        <v>620114058</v>
      </c>
      <c r="B2177" t="str">
        <f>"775 685 316 01510"</f>
        <v>775 685 316 01510</v>
      </c>
      <c r="D2177" t="str">
        <f>"CSP FILIERIS DE MONTIGNY EN GOHELLE"</f>
        <v>CSP FILIERIS DE MONTIGNY EN GOHELLE</v>
      </c>
      <c r="F2177" t="str">
        <f>"2 RUE HOUSSIN"</f>
        <v>2 RUE HOUSSIN</v>
      </c>
      <c r="H2177" t="str">
        <f>"62640"</f>
        <v>62640</v>
      </c>
      <c r="I2177" t="str">
        <f>"MONTIGNY EN GOHELLE"</f>
        <v>MONTIGNY EN GOHELLE</v>
      </c>
      <c r="J2177" t="str">
        <f>"03 21 76 11 00 "</f>
        <v xml:space="preserve">03 21 76 11 00 </v>
      </c>
      <c r="L2177" s="1">
        <v>39161</v>
      </c>
      <c r="M2177" t="str">
        <f t="shared" si="337"/>
        <v>124</v>
      </c>
      <c r="N2177" t="str">
        <f t="shared" si="338"/>
        <v>Centre de Santé</v>
      </c>
      <c r="O2177" t="str">
        <f>"41"</f>
        <v>41</v>
      </c>
      <c r="P2177" t="str">
        <f>"Régime Spécial de Sécurité Sociale"</f>
        <v>Régime Spécial de Sécurité Sociale</v>
      </c>
      <c r="Q2177" t="str">
        <f t="shared" si="341"/>
        <v>36</v>
      </c>
      <c r="R2177" t="str">
        <f t="shared" si="342"/>
        <v>Tarifs conventionnels assurance maladie</v>
      </c>
      <c r="U2177" t="str">
        <f>"750050759"</f>
        <v>750050759</v>
      </c>
    </row>
    <row r="2178" spans="1:21" x14ac:dyDescent="0.3">
      <c r="A2178" t="str">
        <f>"060011988"</f>
        <v>060011988</v>
      </c>
      <c r="B2178" t="str">
        <f>"352 098 131 00274"</f>
        <v>352 098 131 00274</v>
      </c>
      <c r="D2178" t="str">
        <f>"CDS DENTAIRE MUTUALISTE"</f>
        <v>CDS DENTAIRE MUTUALISTE</v>
      </c>
      <c r="E2178" t="str">
        <f>"LE SAINT LAURENT"</f>
        <v>LE SAINT LAURENT</v>
      </c>
      <c r="F2178" t="str">
        <f>"552 AVENUE DE LA LIBERATION"</f>
        <v>552 AVENUE DE LA LIBERATION</v>
      </c>
      <c r="H2178" t="str">
        <f>"06700"</f>
        <v>06700</v>
      </c>
      <c r="I2178" t="str">
        <f>"ST LAURENT DU VAR"</f>
        <v>ST LAURENT DU VAR</v>
      </c>
      <c r="J2178" t="str">
        <f>"04 97 12 23 00 "</f>
        <v xml:space="preserve">04 97 12 23 00 </v>
      </c>
      <c r="L2178" s="1">
        <v>39142</v>
      </c>
      <c r="M2178" t="str">
        <f t="shared" ref="M2178:M2241" si="343">"124"</f>
        <v>124</v>
      </c>
      <c r="N2178" t="str">
        <f t="shared" ref="N2178:N2241" si="344">"Centre de Santé"</f>
        <v>Centre de Santé</v>
      </c>
      <c r="O2178" t="str">
        <f>"47"</f>
        <v>47</v>
      </c>
      <c r="P2178" t="str">
        <f>"Société Mutualiste"</f>
        <v>Société Mutualiste</v>
      </c>
      <c r="Q2178" t="str">
        <f t="shared" si="341"/>
        <v>36</v>
      </c>
      <c r="R2178" t="str">
        <f t="shared" si="342"/>
        <v>Tarifs conventionnels assurance maladie</v>
      </c>
      <c r="U2178" t="str">
        <f>"130007032"</f>
        <v>130007032</v>
      </c>
    </row>
    <row r="2179" spans="1:21" x14ac:dyDescent="0.3">
      <c r="A2179" t="str">
        <f>"640010559"</f>
        <v>640010559</v>
      </c>
      <c r="B2179" t="str">
        <f>"321 485 542 00203"</f>
        <v>321 485 542 00203</v>
      </c>
      <c r="D2179" t="str">
        <f>"CENTRE DE SANTE DENTAIRE MUTUALISTE"</f>
        <v>CENTRE DE SANTE DENTAIRE MUTUALISTE</v>
      </c>
      <c r="F2179" t="str">
        <f>"4 AVENUE DU PRESIDENT KENNEDY"</f>
        <v>4 AVENUE DU PRESIDENT KENNEDY</v>
      </c>
      <c r="H2179" t="str">
        <f>"64300"</f>
        <v>64300</v>
      </c>
      <c r="I2179" t="str">
        <f>"ORTHEZ"</f>
        <v>ORTHEZ</v>
      </c>
      <c r="J2179" t="str">
        <f>"05 59 69 97 17 "</f>
        <v xml:space="preserve">05 59 69 97 17 </v>
      </c>
      <c r="K2179" t="str">
        <f>"05 59 69 97 18"</f>
        <v>05 59 69 97 18</v>
      </c>
      <c r="L2179" s="1">
        <v>39132</v>
      </c>
      <c r="M2179" t="str">
        <f t="shared" si="343"/>
        <v>124</v>
      </c>
      <c r="N2179" t="str">
        <f t="shared" si="344"/>
        <v>Centre de Santé</v>
      </c>
      <c r="O2179" t="str">
        <f>"47"</f>
        <v>47</v>
      </c>
      <c r="P2179" t="str">
        <f>"Société Mutualiste"</f>
        <v>Société Mutualiste</v>
      </c>
      <c r="Q2179" t="str">
        <f t="shared" si="341"/>
        <v>36</v>
      </c>
      <c r="R2179" t="str">
        <f t="shared" si="342"/>
        <v>Tarifs conventionnels assurance maladie</v>
      </c>
      <c r="U2179" t="str">
        <f>"640795555"</f>
        <v>640795555</v>
      </c>
    </row>
    <row r="2180" spans="1:21" x14ac:dyDescent="0.3">
      <c r="A2180" t="str">
        <f>"340016518"</f>
        <v>340016518</v>
      </c>
      <c r="B2180" t="str">
        <f>"512 611 781 00075"</f>
        <v>512 611 781 00075</v>
      </c>
      <c r="D2180" t="str">
        <f>"CENTRE DE SANTÉ DENTAIRE AGDE"</f>
        <v>CENTRE DE SANTÉ DENTAIRE AGDE</v>
      </c>
      <c r="E2180" t="str">
        <f>"ROND POINT MEDITERRANEE"</f>
        <v>ROND POINT MEDITERRANEE</v>
      </c>
      <c r="F2180" t="str">
        <f>"1 RUE GRAND CAP"</f>
        <v>1 RUE GRAND CAP</v>
      </c>
      <c r="H2180" t="str">
        <f>"34300"</f>
        <v>34300</v>
      </c>
      <c r="I2180" t="str">
        <f>"AGDE"</f>
        <v>AGDE</v>
      </c>
      <c r="J2180" t="str">
        <f>"04 67 77 00 00 "</f>
        <v xml:space="preserve">04 67 77 00 00 </v>
      </c>
      <c r="K2180" t="str">
        <f>"04 67 76 58 53"</f>
        <v>04 67 76 58 53</v>
      </c>
      <c r="L2180" s="1">
        <v>39090</v>
      </c>
      <c r="M2180" t="str">
        <f t="shared" si="343"/>
        <v>124</v>
      </c>
      <c r="N2180" t="str">
        <f t="shared" si="344"/>
        <v>Centre de Santé</v>
      </c>
      <c r="O2180" t="str">
        <f>"60"</f>
        <v>60</v>
      </c>
      <c r="P2180" t="str">
        <f>"Association Loi 1901 non Reconnue d'Utilité Publique"</f>
        <v>Association Loi 1901 non Reconnue d'Utilité Publique</v>
      </c>
      <c r="Q2180" t="str">
        <f t="shared" si="341"/>
        <v>36</v>
      </c>
      <c r="R2180" t="str">
        <f t="shared" si="342"/>
        <v>Tarifs conventionnels assurance maladie</v>
      </c>
      <c r="U2180" t="str">
        <f>"840019210"</f>
        <v>840019210</v>
      </c>
    </row>
    <row r="2181" spans="1:21" x14ac:dyDescent="0.3">
      <c r="A2181" t="str">
        <f>"690801766"</f>
        <v>690801766</v>
      </c>
      <c r="B2181" t="str">
        <f>"775 654 478 00590"</f>
        <v>775 654 478 00590</v>
      </c>
      <c r="D2181" t="str">
        <f>"CENTRE DE SANTE UMFMB LYON 3EME"</f>
        <v>CENTRE DE SANTE UMFMB LYON 3EME</v>
      </c>
      <c r="F2181" t="str">
        <f>"80 RUE D'INKERMANN"</f>
        <v>80 RUE D'INKERMANN</v>
      </c>
      <c r="H2181" t="str">
        <f>"69006"</f>
        <v>69006</v>
      </c>
      <c r="I2181" t="str">
        <f>"LYON"</f>
        <v>LYON</v>
      </c>
      <c r="J2181" t="str">
        <f>"04 72 35 02 13 "</f>
        <v xml:space="preserve">04 72 35 02 13 </v>
      </c>
      <c r="K2181" t="str">
        <f>"04 78 54 51 20"</f>
        <v>04 78 54 51 20</v>
      </c>
      <c r="L2181" s="1">
        <v>39083</v>
      </c>
      <c r="M2181" t="str">
        <f t="shared" si="343"/>
        <v>124</v>
      </c>
      <c r="N2181" t="str">
        <f t="shared" si="344"/>
        <v>Centre de Santé</v>
      </c>
      <c r="O2181" t="str">
        <f>"47"</f>
        <v>47</v>
      </c>
      <c r="P2181" t="str">
        <f>"Société Mutualiste"</f>
        <v>Société Mutualiste</v>
      </c>
      <c r="Q2181" t="str">
        <f t="shared" si="341"/>
        <v>36</v>
      </c>
      <c r="R2181" t="str">
        <f t="shared" si="342"/>
        <v>Tarifs conventionnels assurance maladie</v>
      </c>
      <c r="U2181" t="str">
        <f>"740787791"</f>
        <v>740787791</v>
      </c>
    </row>
    <row r="2182" spans="1:21" x14ac:dyDescent="0.3">
      <c r="A2182" t="str">
        <f>"970500062"</f>
        <v>970500062</v>
      </c>
      <c r="B2182" t="str">
        <f>"402 395 743 00014"</f>
        <v>402 395 743 00014</v>
      </c>
      <c r="D2182" t="str">
        <f>"CENTRE DE SANTE"</f>
        <v>CENTRE DE SANTE</v>
      </c>
      <c r="F2182" t="str">
        <f>"PLACE GENERAL DE GAULLE"</f>
        <v>PLACE GENERAL DE GAULLE</v>
      </c>
      <c r="G2182" t="str">
        <f>"BP 4444"</f>
        <v>BP 4444</v>
      </c>
      <c r="H2182" t="str">
        <f>"97500"</f>
        <v>97500</v>
      </c>
      <c r="I2182" t="str">
        <f>"ST PIERRE ET MIQUELON"</f>
        <v>ST PIERRE ET MIQUELON</v>
      </c>
      <c r="J2182" t="str">
        <f>"05 08 41 15 60 "</f>
        <v xml:space="preserve">05 08 41 15 60 </v>
      </c>
      <c r="K2182" t="str">
        <f>"05 08 41 15 64"</f>
        <v>05 08 41 15 64</v>
      </c>
      <c r="L2182" s="1">
        <v>39083</v>
      </c>
      <c r="M2182" t="str">
        <f t="shared" si="343"/>
        <v>124</v>
      </c>
      <c r="N2182" t="str">
        <f t="shared" si="344"/>
        <v>Centre de Santé</v>
      </c>
      <c r="O2182" t="str">
        <f>"65"</f>
        <v>65</v>
      </c>
      <c r="P2182" t="str">
        <f>"Autre Organisme Privé à But non Lucratif"</f>
        <v>Autre Organisme Privé à But non Lucratif</v>
      </c>
      <c r="Q2182" t="str">
        <f t="shared" si="341"/>
        <v>36</v>
      </c>
      <c r="R2182" t="str">
        <f t="shared" si="342"/>
        <v>Tarifs conventionnels assurance maladie</v>
      </c>
      <c r="U2182" t="str">
        <f>"970500054"</f>
        <v>970500054</v>
      </c>
    </row>
    <row r="2183" spans="1:21" x14ac:dyDescent="0.3">
      <c r="A2183" t="str">
        <f>"130019219"</f>
        <v>130019219</v>
      </c>
      <c r="D2183" t="str">
        <f>"CDS DENTAIRE OXANCE MARSEILLE 8"</f>
        <v>CDS DENTAIRE OXANCE MARSEILLE 8</v>
      </c>
      <c r="F2183" t="str">
        <f>"78 AVENUE DE HAMBOURG"</f>
        <v>78 AVENUE DE HAMBOURG</v>
      </c>
      <c r="H2183" t="str">
        <f>"13008"</f>
        <v>13008</v>
      </c>
      <c r="I2183" t="str">
        <f>"MARSEILLE"</f>
        <v>MARSEILLE</v>
      </c>
      <c r="J2183" t="str">
        <f>"04 96 14 06 50 "</f>
        <v xml:space="preserve">04 96 14 06 50 </v>
      </c>
      <c r="L2183" s="1">
        <v>39069</v>
      </c>
      <c r="M2183" t="str">
        <f t="shared" si="343"/>
        <v>124</v>
      </c>
      <c r="N2183" t="str">
        <f t="shared" si="344"/>
        <v>Centre de Santé</v>
      </c>
      <c r="O2183" t="str">
        <f>"47"</f>
        <v>47</v>
      </c>
      <c r="P2183" t="str">
        <f>"Société Mutualiste"</f>
        <v>Société Mutualiste</v>
      </c>
      <c r="Q2183" t="str">
        <f t="shared" si="341"/>
        <v>36</v>
      </c>
      <c r="R2183" t="str">
        <f t="shared" si="342"/>
        <v>Tarifs conventionnels assurance maladie</v>
      </c>
      <c r="U2183" t="str">
        <f>"690048111"</f>
        <v>690048111</v>
      </c>
    </row>
    <row r="2184" spans="1:21" x14ac:dyDescent="0.3">
      <c r="A2184" t="str">
        <f>"930017009"</f>
        <v>930017009</v>
      </c>
      <c r="B2184" t="str">
        <f>"492 828 942 00010"</f>
        <v>492 828 942 00010</v>
      </c>
      <c r="D2184" t="str">
        <f>"CDS DENTAIRE DE TREMBLAY"</f>
        <v>CDS DENTAIRE DE TREMBLAY</v>
      </c>
      <c r="F2184" t="str">
        <f>"152 AVENUE ALBERT SARRAUT"</f>
        <v>152 AVENUE ALBERT SARRAUT</v>
      </c>
      <c r="H2184" t="str">
        <f>"93290"</f>
        <v>93290</v>
      </c>
      <c r="I2184" t="str">
        <f>"TREMBLAY EN FRANCE"</f>
        <v>TREMBLAY EN FRANCE</v>
      </c>
      <c r="J2184" t="str">
        <f>"01 48 67 96 10 "</f>
        <v xml:space="preserve">01 48 67 96 10 </v>
      </c>
      <c r="L2184" s="1">
        <v>39044</v>
      </c>
      <c r="M2184" t="str">
        <f t="shared" si="343"/>
        <v>124</v>
      </c>
      <c r="N2184" t="str">
        <f t="shared" si="344"/>
        <v>Centre de Santé</v>
      </c>
      <c r="O2184" t="str">
        <f>"60"</f>
        <v>60</v>
      </c>
      <c r="P2184" t="str">
        <f>"Association Loi 1901 non Reconnue d'Utilité Publique"</f>
        <v>Association Loi 1901 non Reconnue d'Utilité Publique</v>
      </c>
      <c r="Q2184" t="str">
        <f t="shared" si="341"/>
        <v>36</v>
      </c>
      <c r="R2184" t="str">
        <f t="shared" si="342"/>
        <v>Tarifs conventionnels assurance maladie</v>
      </c>
      <c r="U2184" t="str">
        <f>"930016969"</f>
        <v>930016969</v>
      </c>
    </row>
    <row r="2185" spans="1:21" x14ac:dyDescent="0.3">
      <c r="A2185" t="str">
        <f>"300009388"</f>
        <v>300009388</v>
      </c>
      <c r="B2185" t="str">
        <f>"813 179 793 00894"</f>
        <v>813 179 793 00894</v>
      </c>
      <c r="D2185" t="str">
        <f>"CDS DENTAIRE MFGS SSAM UZES"</f>
        <v>CDS DENTAIRE MFGS SSAM UZES</v>
      </c>
      <c r="E2185" t="str">
        <f>"ZI PONT DES CHARRETTES"</f>
        <v>ZI PONT DES CHARRETTES</v>
      </c>
      <c r="F2185" t="str">
        <f>"1200 ROUTE DE REMOULINS"</f>
        <v>1200 ROUTE DE REMOULINS</v>
      </c>
      <c r="H2185" t="str">
        <f>"30700"</f>
        <v>30700</v>
      </c>
      <c r="I2185" t="str">
        <f>"UZES"</f>
        <v>UZES</v>
      </c>
      <c r="J2185" t="str">
        <f>"04 66 04 30 06 "</f>
        <v xml:space="preserve">04 66 04 30 06 </v>
      </c>
      <c r="K2185" t="str">
        <f>"04 66 04 30 35"</f>
        <v>04 66 04 30 35</v>
      </c>
      <c r="L2185" s="1">
        <v>39028</v>
      </c>
      <c r="M2185" t="str">
        <f t="shared" si="343"/>
        <v>124</v>
      </c>
      <c r="N2185" t="str">
        <f t="shared" si="344"/>
        <v>Centre de Santé</v>
      </c>
      <c r="O2185" t="str">
        <f>"47"</f>
        <v>47</v>
      </c>
      <c r="P2185" t="str">
        <f>"Société Mutualiste"</f>
        <v>Société Mutualiste</v>
      </c>
      <c r="Q2185" t="str">
        <f t="shared" si="341"/>
        <v>36</v>
      </c>
      <c r="R2185" t="str">
        <f t="shared" si="342"/>
        <v>Tarifs conventionnels assurance maladie</v>
      </c>
      <c r="U2185" t="str">
        <f>"340023209"</f>
        <v>340023209</v>
      </c>
    </row>
    <row r="2186" spans="1:21" x14ac:dyDescent="0.3">
      <c r="A2186" t="str">
        <f>"130021058"</f>
        <v>130021058</v>
      </c>
      <c r="B2186" t="str">
        <f>"782 824 379 00039"</f>
        <v>782 824 379 00039</v>
      </c>
      <c r="D2186" t="str">
        <f>"CDS DENTAIRE AUBAGNE"</f>
        <v>CDS DENTAIRE AUBAGNE</v>
      </c>
      <c r="F2186" t="str">
        <f>"60 ALLEE FAIENCIERS QUA DEFENSIONS"</f>
        <v>60 ALLEE FAIENCIERS QUA DEFENSIONS</v>
      </c>
      <c r="H2186" t="str">
        <f>"13400"</f>
        <v>13400</v>
      </c>
      <c r="I2186" t="str">
        <f>"AUBAGNE"</f>
        <v>AUBAGNE</v>
      </c>
      <c r="J2186" t="str">
        <f>"04 42 84 65 02 "</f>
        <v xml:space="preserve">04 42 84 65 02 </v>
      </c>
      <c r="L2186" s="1">
        <v>39027</v>
      </c>
      <c r="M2186" t="str">
        <f t="shared" si="343"/>
        <v>124</v>
      </c>
      <c r="N2186" t="str">
        <f t="shared" si="344"/>
        <v>Centre de Santé</v>
      </c>
      <c r="O2186" t="str">
        <f>"60"</f>
        <v>60</v>
      </c>
      <c r="P2186" t="str">
        <f>"Association Loi 1901 non Reconnue d'Utilité Publique"</f>
        <v>Association Loi 1901 non Reconnue d'Utilité Publique</v>
      </c>
      <c r="Q2186" t="str">
        <f t="shared" si="341"/>
        <v>36</v>
      </c>
      <c r="R2186" t="str">
        <f t="shared" si="342"/>
        <v>Tarifs conventionnels assurance maladie</v>
      </c>
      <c r="U2186" t="str">
        <f>"130001308"</f>
        <v>130001308</v>
      </c>
    </row>
    <row r="2187" spans="1:21" x14ac:dyDescent="0.3">
      <c r="A2187" t="str">
        <f>"690018809"</f>
        <v>690018809</v>
      </c>
      <c r="D2187" t="str">
        <f>"CENTRE DE SANTE CALYDIAL VENISSIEUX"</f>
        <v>CENTRE DE SANTE CALYDIAL VENISSIEUX</v>
      </c>
      <c r="E2187" t="str">
        <f>"GROUPE HOSPITALIER MUTUALISTE"</f>
        <v>GROUPE HOSPITALIER MUTUALISTE</v>
      </c>
      <c r="F2187" t="str">
        <f>"2 AVENUE DU 11 NOVEMBRE 1918"</f>
        <v>2 AVENUE DU 11 NOVEMBRE 1918</v>
      </c>
      <c r="G2187" t="str">
        <f>"LE COULOUD"</f>
        <v>LE COULOUD</v>
      </c>
      <c r="H2187" t="str">
        <f>"69200"</f>
        <v>69200</v>
      </c>
      <c r="I2187" t="str">
        <f>"VENISSIEUX"</f>
        <v>VENISSIEUX</v>
      </c>
      <c r="J2187" t="str">
        <f>"04 27 85 22 00 "</f>
        <v xml:space="preserve">04 27 85 22 00 </v>
      </c>
      <c r="K2187" t="str">
        <f>"04 27 85 22 01"</f>
        <v>04 27 85 22 01</v>
      </c>
      <c r="L2187" s="1">
        <v>39013</v>
      </c>
      <c r="M2187" t="str">
        <f t="shared" si="343"/>
        <v>124</v>
      </c>
      <c r="N2187" t="str">
        <f t="shared" si="344"/>
        <v>Centre de Santé</v>
      </c>
      <c r="O2187" t="str">
        <f>"60"</f>
        <v>60</v>
      </c>
      <c r="P2187" t="str">
        <f>"Association Loi 1901 non Reconnue d'Utilité Publique"</f>
        <v>Association Loi 1901 non Reconnue d'Utilité Publique</v>
      </c>
      <c r="Q2187" t="str">
        <f t="shared" si="341"/>
        <v>36</v>
      </c>
      <c r="R2187" t="str">
        <f t="shared" si="342"/>
        <v>Tarifs conventionnels assurance maladie</v>
      </c>
      <c r="U2187" t="str">
        <f>"690002225"</f>
        <v>690002225</v>
      </c>
    </row>
    <row r="2188" spans="1:21" x14ac:dyDescent="0.3">
      <c r="A2188" t="str">
        <f>"070784749"</f>
        <v>070784749</v>
      </c>
      <c r="B2188" t="str">
        <f>"776 283 202 00088"</f>
        <v>776 283 202 00088</v>
      </c>
      <c r="D2188" t="str">
        <f>"CENTRE DE SANTE AAD07 SAINT-PERAY"</f>
        <v>CENTRE DE SANTE AAD07 SAINT-PERAY</v>
      </c>
      <c r="F2188" t="str">
        <f>"48 RUE DE LA REPUBLIQUE"</f>
        <v>48 RUE DE LA REPUBLIQUE</v>
      </c>
      <c r="H2188" t="str">
        <f>"07130"</f>
        <v>07130</v>
      </c>
      <c r="I2188" t="str">
        <f>"ST PERAY"</f>
        <v>ST PERAY</v>
      </c>
      <c r="J2188" t="str">
        <f>"04 75 81 87 87 "</f>
        <v xml:space="preserve">04 75 81 87 87 </v>
      </c>
      <c r="K2188" t="str">
        <f>"04 75 81 87 88"</f>
        <v>04 75 81 87 88</v>
      </c>
      <c r="L2188" s="1">
        <v>38991</v>
      </c>
      <c r="M2188" t="str">
        <f t="shared" si="343"/>
        <v>124</v>
      </c>
      <c r="N2188" t="str">
        <f t="shared" si="344"/>
        <v>Centre de Santé</v>
      </c>
      <c r="O2188" t="str">
        <f>"60"</f>
        <v>60</v>
      </c>
      <c r="P2188" t="str">
        <f>"Association Loi 1901 non Reconnue d'Utilité Publique"</f>
        <v>Association Loi 1901 non Reconnue d'Utilité Publique</v>
      </c>
      <c r="Q2188" t="str">
        <f t="shared" si="341"/>
        <v>36</v>
      </c>
      <c r="R2188" t="str">
        <f t="shared" si="342"/>
        <v>Tarifs conventionnels assurance maladie</v>
      </c>
      <c r="U2188" t="str">
        <f>"070000757"</f>
        <v>070000757</v>
      </c>
    </row>
    <row r="2189" spans="1:21" x14ac:dyDescent="0.3">
      <c r="A2189" t="str">
        <f>"570027102"</f>
        <v>570027102</v>
      </c>
      <c r="B2189" t="str">
        <f>"390 490 340 00036"</f>
        <v>390 490 340 00036</v>
      </c>
      <c r="D2189" t="str">
        <f>"CENTRE DE SOINS INFIRMIERS DE BOUSSE"</f>
        <v>CENTRE DE SOINS INFIRMIERS DE BOUSSE</v>
      </c>
      <c r="F2189" t="str">
        <f>"4 RUE DE METZ"</f>
        <v>4 RUE DE METZ</v>
      </c>
      <c r="H2189" t="str">
        <f>"57310"</f>
        <v>57310</v>
      </c>
      <c r="I2189" t="str">
        <f>"BOUSSE"</f>
        <v>BOUSSE</v>
      </c>
      <c r="J2189" t="str">
        <f>"03 87 73 76 18 "</f>
        <v xml:space="preserve">03 87 73 76 18 </v>
      </c>
      <c r="K2189" t="str">
        <f>"03 87 73 81 90"</f>
        <v>03 87 73 81 90</v>
      </c>
      <c r="L2189" s="1">
        <v>38961</v>
      </c>
      <c r="M2189" t="str">
        <f t="shared" si="343"/>
        <v>124</v>
      </c>
      <c r="N2189" t="str">
        <f t="shared" si="344"/>
        <v>Centre de Santé</v>
      </c>
      <c r="O2189" t="str">
        <f>"62"</f>
        <v>62</v>
      </c>
      <c r="P2189" t="str">
        <f>"Association de Droit Local"</f>
        <v>Association de Droit Local</v>
      </c>
      <c r="Q2189" t="str">
        <f t="shared" si="341"/>
        <v>36</v>
      </c>
      <c r="R2189" t="str">
        <f t="shared" si="342"/>
        <v>Tarifs conventionnels assurance maladie</v>
      </c>
      <c r="U2189" t="str">
        <f>"570015966"</f>
        <v>570015966</v>
      </c>
    </row>
    <row r="2190" spans="1:21" x14ac:dyDescent="0.3">
      <c r="A2190" t="str">
        <f>"120002498"</f>
        <v>120002498</v>
      </c>
      <c r="B2190" t="str">
        <f>"442 491 197 00301"</f>
        <v>442 491 197 00301</v>
      </c>
      <c r="D2190" t="str">
        <f>"CABINET DENTAIRE MUTUALISTE"</f>
        <v>CABINET DENTAIRE MUTUALISTE</v>
      </c>
      <c r="E2190" t="str">
        <f>"RESIDENCE ATHENA"</f>
        <v>RESIDENCE ATHENA</v>
      </c>
      <c r="F2190" t="str">
        <f>"21 AVENUE JEAN MONET"</f>
        <v>21 AVENUE JEAN MONET</v>
      </c>
      <c r="H2190" t="str">
        <f>"12000"</f>
        <v>12000</v>
      </c>
      <c r="I2190" t="str">
        <f>"RODEZ"</f>
        <v>RODEZ</v>
      </c>
      <c r="J2190" t="str">
        <f>"05 65 73 72 12 "</f>
        <v xml:space="preserve">05 65 73 72 12 </v>
      </c>
      <c r="K2190" t="str">
        <f>"05 65 73 72 13"</f>
        <v>05 65 73 72 13</v>
      </c>
      <c r="L2190" s="1">
        <v>38930</v>
      </c>
      <c r="M2190" t="str">
        <f t="shared" si="343"/>
        <v>124</v>
      </c>
      <c r="N2190" t="str">
        <f t="shared" si="344"/>
        <v>Centre de Santé</v>
      </c>
      <c r="O2190" t="str">
        <f>"47"</f>
        <v>47</v>
      </c>
      <c r="P2190" t="str">
        <f>"Société Mutualiste"</f>
        <v>Société Mutualiste</v>
      </c>
      <c r="Q2190" t="str">
        <f t="shared" si="341"/>
        <v>36</v>
      </c>
      <c r="R2190" t="str">
        <f t="shared" si="342"/>
        <v>Tarifs conventionnels assurance maladie</v>
      </c>
      <c r="U2190" t="str">
        <f>"120784616"</f>
        <v>120784616</v>
      </c>
    </row>
    <row r="2191" spans="1:21" x14ac:dyDescent="0.3">
      <c r="A2191" t="str">
        <f>"450007869"</f>
        <v>450007869</v>
      </c>
      <c r="B2191" t="str">
        <f>"775 347 891 01769"</f>
        <v>775 347 891 01769</v>
      </c>
      <c r="D2191" t="str">
        <f>"CENTRE DE SANTE DENTAIRE VYV3 OLIVET"</f>
        <v>CENTRE DE SANTE DENTAIRE VYV3 OLIVET</v>
      </c>
      <c r="F2191" t="str">
        <f>"11 RUE PAULIN LABARRE"</f>
        <v>11 RUE PAULIN LABARRE</v>
      </c>
      <c r="H2191" t="str">
        <f>"45160"</f>
        <v>45160</v>
      </c>
      <c r="I2191" t="str">
        <f>"OLIVET"</f>
        <v>OLIVET</v>
      </c>
      <c r="J2191" t="str">
        <f>"02 38 25 04 50 "</f>
        <v xml:space="preserve">02 38 25 04 50 </v>
      </c>
      <c r="K2191" t="str">
        <f>"02 38 63 08 15"</f>
        <v>02 38 63 08 15</v>
      </c>
      <c r="L2191" s="1">
        <v>38929</v>
      </c>
      <c r="M2191" t="str">
        <f t="shared" si="343"/>
        <v>124</v>
      </c>
      <c r="N2191" t="str">
        <f t="shared" si="344"/>
        <v>Centre de Santé</v>
      </c>
      <c r="O2191" t="str">
        <f>"47"</f>
        <v>47</v>
      </c>
      <c r="P2191" t="str">
        <f>"Société Mutualiste"</f>
        <v>Société Mutualiste</v>
      </c>
      <c r="Q2191" t="str">
        <f t="shared" si="341"/>
        <v>36</v>
      </c>
      <c r="R2191" t="str">
        <f t="shared" si="342"/>
        <v>Tarifs conventionnels assurance maladie</v>
      </c>
      <c r="U2191" t="str">
        <f>"370100935"</f>
        <v>370100935</v>
      </c>
    </row>
    <row r="2192" spans="1:21" x14ac:dyDescent="0.3">
      <c r="A2192" t="str">
        <f>"070005426"</f>
        <v>070005426</v>
      </c>
      <c r="B2192" t="str">
        <f>"775 761 844 01310"</f>
        <v>775 761 844 01310</v>
      </c>
      <c r="D2192" t="str">
        <f>"CENTRE DE SANTE OXANCE TOURNON/RHONE"</f>
        <v>CENTRE DE SANTE OXANCE TOURNON/RHONE</v>
      </c>
      <c r="F2192" t="str">
        <f>"20 AVENUE MARECHAL FOCH"</f>
        <v>20 AVENUE MARECHAL FOCH</v>
      </c>
      <c r="H2192" t="str">
        <f>"07300"</f>
        <v>07300</v>
      </c>
      <c r="I2192" t="str">
        <f>"TOURNON SUR RHONE"</f>
        <v>TOURNON SUR RHONE</v>
      </c>
      <c r="J2192" t="str">
        <f>"04 75 05 66 86 "</f>
        <v xml:space="preserve">04 75 05 66 86 </v>
      </c>
      <c r="K2192" t="str">
        <f>"04 75 02 85 03"</f>
        <v>04 75 02 85 03</v>
      </c>
      <c r="L2192" s="1">
        <v>38869</v>
      </c>
      <c r="M2192" t="str">
        <f t="shared" si="343"/>
        <v>124</v>
      </c>
      <c r="N2192" t="str">
        <f t="shared" si="344"/>
        <v>Centre de Santé</v>
      </c>
      <c r="O2192" t="str">
        <f>"47"</f>
        <v>47</v>
      </c>
      <c r="P2192" t="str">
        <f>"Société Mutualiste"</f>
        <v>Société Mutualiste</v>
      </c>
      <c r="Q2192" t="str">
        <f t="shared" si="341"/>
        <v>36</v>
      </c>
      <c r="R2192" t="str">
        <f t="shared" si="342"/>
        <v>Tarifs conventionnels assurance maladie</v>
      </c>
      <c r="U2192" t="str">
        <f>"690048111"</f>
        <v>690048111</v>
      </c>
    </row>
    <row r="2193" spans="1:21" x14ac:dyDescent="0.3">
      <c r="A2193" t="str">
        <f>"210005419"</f>
        <v>210005419</v>
      </c>
      <c r="B2193" t="str">
        <f>"805 357 159 00047"</f>
        <v>805 357 159 00047</v>
      </c>
      <c r="D2193" t="str">
        <f>"CENTRE DE SANTE RENALE DE DIJON"</f>
        <v>CENTRE DE SANTE RENALE DE DIJON</v>
      </c>
      <c r="F2193" t="str">
        <f>"14 RUE DE LA BREUCHILLIERE"</f>
        <v>14 RUE DE LA BREUCHILLIERE</v>
      </c>
      <c r="H2193" t="str">
        <f>"21000"</f>
        <v>21000</v>
      </c>
      <c r="I2193" t="str">
        <f>"DIJON"</f>
        <v>DIJON</v>
      </c>
      <c r="J2193" t="str">
        <f>"03 80 28 86 50 "</f>
        <v xml:space="preserve">03 80 28 86 50 </v>
      </c>
      <c r="L2193" s="1">
        <v>38869</v>
      </c>
      <c r="M2193" t="str">
        <f t="shared" si="343"/>
        <v>124</v>
      </c>
      <c r="N2193" t="str">
        <f t="shared" si="344"/>
        <v>Centre de Santé</v>
      </c>
      <c r="O2193" t="str">
        <f>"61"</f>
        <v>61</v>
      </c>
      <c r="P2193" t="str">
        <f>"Association Loi 1901 Reconnue d'Utilité Publique"</f>
        <v>Association Loi 1901 Reconnue d'Utilité Publique</v>
      </c>
      <c r="Q2193" t="str">
        <f t="shared" si="341"/>
        <v>36</v>
      </c>
      <c r="R2193" t="str">
        <f t="shared" si="342"/>
        <v>Tarifs conventionnels assurance maladie</v>
      </c>
      <c r="U2193" t="str">
        <f>"210012290"</f>
        <v>210012290</v>
      </c>
    </row>
    <row r="2194" spans="1:21" x14ac:dyDescent="0.3">
      <c r="A2194" t="str">
        <f>"300009438"</f>
        <v>300009438</v>
      </c>
      <c r="B2194" t="str">
        <f>"512 611 781 00521"</f>
        <v>512 611 781 00521</v>
      </c>
      <c r="D2194" t="str">
        <f>"CENTRE DE SANTE DENTAIRE NIMES"</f>
        <v>CENTRE DE SANTE DENTAIRE NIMES</v>
      </c>
      <c r="F2194" t="str">
        <f>"1570 BOULEVARD PDT SALVADOR ALLENDE"</f>
        <v>1570 BOULEVARD PDT SALVADOR ALLENDE</v>
      </c>
      <c r="H2194" t="str">
        <f>"30900"</f>
        <v>30900</v>
      </c>
      <c r="I2194" t="str">
        <f>"NIMES"</f>
        <v>NIMES</v>
      </c>
      <c r="J2194" t="str">
        <f>"04 66 38 68 78 "</f>
        <v xml:space="preserve">04 66 38 68 78 </v>
      </c>
      <c r="L2194" s="1">
        <v>38869</v>
      </c>
      <c r="M2194" t="str">
        <f t="shared" si="343"/>
        <v>124</v>
      </c>
      <c r="N2194" t="str">
        <f t="shared" si="344"/>
        <v>Centre de Santé</v>
      </c>
      <c r="O2194" t="str">
        <f>"60"</f>
        <v>60</v>
      </c>
      <c r="P2194" t="str">
        <f>"Association Loi 1901 non Reconnue d'Utilité Publique"</f>
        <v>Association Loi 1901 non Reconnue d'Utilité Publique</v>
      </c>
      <c r="Q2194" t="str">
        <f t="shared" si="341"/>
        <v>36</v>
      </c>
      <c r="R2194" t="str">
        <f t="shared" si="342"/>
        <v>Tarifs conventionnels assurance maladie</v>
      </c>
      <c r="U2194" t="str">
        <f>"840019210"</f>
        <v>840019210</v>
      </c>
    </row>
    <row r="2195" spans="1:21" x14ac:dyDescent="0.3">
      <c r="A2195" t="str">
        <f>"2A0002168"</f>
        <v>2A0002168</v>
      </c>
      <c r="B2195" t="str">
        <f>"324 844 653 00166"</f>
        <v>324 844 653 00166</v>
      </c>
      <c r="D2195" t="str">
        <f>"CENTRE DE SANTE MUTUALISTE"</f>
        <v>CENTRE DE SANTE MUTUALISTE</v>
      </c>
      <c r="E2195" t="str">
        <f>"QUARTIER PORETTA"</f>
        <v>QUARTIER PORETTA</v>
      </c>
      <c r="F2195" t="str">
        <f>"QUARTIER PORETTA"</f>
        <v>QUARTIER PORETTA</v>
      </c>
      <c r="G2195" t="str">
        <f>"IMMEUBLE SAINT JEAN"</f>
        <v>IMMEUBLE SAINT JEAN</v>
      </c>
      <c r="H2195" t="str">
        <f>"20137"</f>
        <v>20137</v>
      </c>
      <c r="I2195" t="str">
        <f>"PORTO VECCHIO"</f>
        <v>PORTO VECCHIO</v>
      </c>
      <c r="J2195" t="str">
        <f>"04 95 70 05 81 "</f>
        <v xml:space="preserve">04 95 70 05 81 </v>
      </c>
      <c r="K2195" t="str">
        <f>"04 95 70 06 23"</f>
        <v>04 95 70 06 23</v>
      </c>
      <c r="L2195" s="1">
        <v>38852</v>
      </c>
      <c r="M2195" t="str">
        <f t="shared" si="343"/>
        <v>124</v>
      </c>
      <c r="N2195" t="str">
        <f t="shared" si="344"/>
        <v>Centre de Santé</v>
      </c>
      <c r="O2195" t="str">
        <f>"47"</f>
        <v>47</v>
      </c>
      <c r="P2195" t="str">
        <f>"Société Mutualiste"</f>
        <v>Société Mutualiste</v>
      </c>
      <c r="Q2195" t="str">
        <f t="shared" si="341"/>
        <v>36</v>
      </c>
      <c r="R2195" t="str">
        <f t="shared" si="342"/>
        <v>Tarifs conventionnels assurance maladie</v>
      </c>
      <c r="U2195" t="str">
        <f>"2A0001848"</f>
        <v>2A0001848</v>
      </c>
    </row>
    <row r="2196" spans="1:21" x14ac:dyDescent="0.3">
      <c r="A2196" t="str">
        <f>"970206280"</f>
        <v>970206280</v>
      </c>
      <c r="B2196" t="str">
        <f>"313 944 159 00018"</f>
        <v>313 944 159 00018</v>
      </c>
      <c r="D2196" t="str">
        <f>"CENTRE DE SANTE SHM"</f>
        <v>CENTRE DE SANTE SHM</v>
      </c>
      <c r="E2196" t="str">
        <f>"0,100 KM"</f>
        <v>0,100 KM</v>
      </c>
      <c r="F2196" t="str">
        <f>"13 ROUTE DE LA FOLIE"</f>
        <v>13 ROUTE DE LA FOLIE</v>
      </c>
      <c r="H2196" t="str">
        <f>"97200"</f>
        <v>97200</v>
      </c>
      <c r="I2196" t="str">
        <f>"FORT DE FRANCE"</f>
        <v>FORT DE FRANCE</v>
      </c>
      <c r="J2196" t="str">
        <f>"05 96 70 23 77 "</f>
        <v xml:space="preserve">05 96 70 23 77 </v>
      </c>
      <c r="K2196" t="str">
        <f>"05 96 63 54 88"</f>
        <v>05 96 63 54 88</v>
      </c>
      <c r="L2196" s="1">
        <v>38846</v>
      </c>
      <c r="M2196" t="str">
        <f t="shared" si="343"/>
        <v>124</v>
      </c>
      <c r="N2196" t="str">
        <f t="shared" si="344"/>
        <v>Centre de Santé</v>
      </c>
      <c r="O2196" t="str">
        <f>"60"</f>
        <v>60</v>
      </c>
      <c r="P2196" t="str">
        <f>"Association Loi 1901 non Reconnue d'Utilité Publique"</f>
        <v>Association Loi 1901 non Reconnue d'Utilité Publique</v>
      </c>
      <c r="Q2196" t="str">
        <f t="shared" si="341"/>
        <v>36</v>
      </c>
      <c r="R2196" t="str">
        <f t="shared" si="342"/>
        <v>Tarifs conventionnels assurance maladie</v>
      </c>
      <c r="U2196" t="str">
        <f>"970206272"</f>
        <v>970206272</v>
      </c>
    </row>
    <row r="2197" spans="1:21" x14ac:dyDescent="0.3">
      <c r="A2197" t="str">
        <f>"170020598"</f>
        <v>170020598</v>
      </c>
      <c r="B2197" t="str">
        <f>"343 334 744 00194"</f>
        <v>343 334 744 00194</v>
      </c>
      <c r="D2197" t="str">
        <f>"CENTRE DE SANTE - MUT F. 17"</f>
        <v>CENTRE DE SANTE - MUT F. 17</v>
      </c>
      <c r="F2197" t="str">
        <f>"67 RUE PAUL DOUMER"</f>
        <v>67 RUE PAUL DOUMER</v>
      </c>
      <c r="H2197" t="str">
        <f>"17200"</f>
        <v>17200</v>
      </c>
      <c r="I2197" t="str">
        <f>"ROYAN"</f>
        <v>ROYAN</v>
      </c>
      <c r="J2197" t="str">
        <f>"05 46 22 45 45 "</f>
        <v xml:space="preserve">05 46 22 45 45 </v>
      </c>
      <c r="K2197" t="str">
        <f>"05 46 22 05 18"</f>
        <v>05 46 22 05 18</v>
      </c>
      <c r="L2197" s="1">
        <v>38838</v>
      </c>
      <c r="M2197" t="str">
        <f t="shared" si="343"/>
        <v>124</v>
      </c>
      <c r="N2197" t="str">
        <f t="shared" si="344"/>
        <v>Centre de Santé</v>
      </c>
      <c r="O2197" t="str">
        <f>"47"</f>
        <v>47</v>
      </c>
      <c r="P2197" t="str">
        <f>"Société Mutualiste"</f>
        <v>Société Mutualiste</v>
      </c>
      <c r="Q2197" t="str">
        <f t="shared" si="341"/>
        <v>36</v>
      </c>
      <c r="R2197" t="str">
        <f t="shared" si="342"/>
        <v>Tarifs conventionnels assurance maladie</v>
      </c>
      <c r="U2197" t="str">
        <f>"170020432"</f>
        <v>170020432</v>
      </c>
    </row>
    <row r="2198" spans="1:21" x14ac:dyDescent="0.3">
      <c r="A2198" t="str">
        <f>"290030618"</f>
        <v>290030618</v>
      </c>
      <c r="B2198" t="str">
        <f>"319 294 971 00043"</f>
        <v>319 294 971 00043</v>
      </c>
      <c r="D2198" t="str">
        <f>"CDS INFIRMIER IROISE"</f>
        <v>CDS INFIRMIER IROISE</v>
      </c>
      <c r="F2198" t="str">
        <f>"48 RUE VICTOR EUSEN"</f>
        <v>48 RUE VICTOR EUSEN</v>
      </c>
      <c r="H2198" t="str">
        <f>"29200"</f>
        <v>29200</v>
      </c>
      <c r="I2198" t="str">
        <f>"BREST"</f>
        <v>BREST</v>
      </c>
      <c r="J2198" t="str">
        <f>"02 98 34 02 74 "</f>
        <v xml:space="preserve">02 98 34 02 74 </v>
      </c>
      <c r="L2198" s="1">
        <v>38838</v>
      </c>
      <c r="M2198" t="str">
        <f t="shared" si="343"/>
        <v>124</v>
      </c>
      <c r="N2198" t="str">
        <f t="shared" si="344"/>
        <v>Centre de Santé</v>
      </c>
      <c r="O2198" t="str">
        <f>"60"</f>
        <v>60</v>
      </c>
      <c r="P2198" t="str">
        <f>"Association Loi 1901 non Reconnue d'Utilité Publique"</f>
        <v>Association Loi 1901 non Reconnue d'Utilité Publique</v>
      </c>
      <c r="Q2198" t="str">
        <f t="shared" si="341"/>
        <v>36</v>
      </c>
      <c r="R2198" t="str">
        <f t="shared" si="342"/>
        <v>Tarifs conventionnels assurance maladie</v>
      </c>
      <c r="U2198" t="str">
        <f>"290001338"</f>
        <v>290001338</v>
      </c>
    </row>
    <row r="2199" spans="1:21" x14ac:dyDescent="0.3">
      <c r="A2199" t="str">
        <f>"380001289"</f>
        <v>380001289</v>
      </c>
      <c r="B2199" t="str">
        <f>"775 761 844 00882"</f>
        <v>775 761 844 00882</v>
      </c>
      <c r="D2199" t="str">
        <f>"CENTRE DE SANTE OXANCE VIENNE"</f>
        <v>CENTRE DE SANTE OXANCE VIENNE</v>
      </c>
      <c r="F2199" t="str">
        <f>"12 BOULEVARD ASIATICUS"</f>
        <v>12 BOULEVARD ASIATICUS</v>
      </c>
      <c r="H2199" t="str">
        <f>"38200"</f>
        <v>38200</v>
      </c>
      <c r="I2199" t="str">
        <f>"VIENNE"</f>
        <v>VIENNE</v>
      </c>
      <c r="J2199" t="str">
        <f>"04 37 02 21 80 "</f>
        <v xml:space="preserve">04 37 02 21 80 </v>
      </c>
      <c r="K2199" t="str">
        <f>"04 37 02 21 85"</f>
        <v>04 37 02 21 85</v>
      </c>
      <c r="L2199" s="1">
        <v>38718</v>
      </c>
      <c r="M2199" t="str">
        <f t="shared" si="343"/>
        <v>124</v>
      </c>
      <c r="N2199" t="str">
        <f t="shared" si="344"/>
        <v>Centre de Santé</v>
      </c>
      <c r="O2199" t="str">
        <f t="shared" ref="O2199:O2205" si="345">"47"</f>
        <v>47</v>
      </c>
      <c r="P2199" t="str">
        <f t="shared" ref="P2199:P2205" si="346">"Société Mutualiste"</f>
        <v>Société Mutualiste</v>
      </c>
      <c r="Q2199" t="str">
        <f t="shared" si="341"/>
        <v>36</v>
      </c>
      <c r="R2199" t="str">
        <f t="shared" si="342"/>
        <v>Tarifs conventionnels assurance maladie</v>
      </c>
      <c r="U2199" t="str">
        <f>"690048111"</f>
        <v>690048111</v>
      </c>
    </row>
    <row r="2200" spans="1:21" x14ac:dyDescent="0.3">
      <c r="A2200" t="str">
        <f>"380013805"</f>
        <v>380013805</v>
      </c>
      <c r="B2200" t="str">
        <f>"775 761 844 00403"</f>
        <v>775 761 844 00403</v>
      </c>
      <c r="D2200" t="str">
        <f>"CENTRE DE SANTE OXANCE PONT DE CLAIX"</f>
        <v>CENTRE DE SANTE OXANCE PONT DE CLAIX</v>
      </c>
      <c r="F2200" t="str">
        <f>"10 COURS SAINT ANDRE"</f>
        <v>10 COURS SAINT ANDRE</v>
      </c>
      <c r="H2200" t="str">
        <f>"38800"</f>
        <v>38800</v>
      </c>
      <c r="I2200" t="str">
        <f>"LE PONT DE CLAIX"</f>
        <v>LE PONT DE CLAIX</v>
      </c>
      <c r="J2200" t="str">
        <f>"04 76 98 89 73 "</f>
        <v xml:space="preserve">04 76 98 89 73 </v>
      </c>
      <c r="L2200" s="1">
        <v>38718</v>
      </c>
      <c r="M2200" t="str">
        <f t="shared" si="343"/>
        <v>124</v>
      </c>
      <c r="N2200" t="str">
        <f t="shared" si="344"/>
        <v>Centre de Santé</v>
      </c>
      <c r="O2200" t="str">
        <f t="shared" si="345"/>
        <v>47</v>
      </c>
      <c r="P2200" t="str">
        <f t="shared" si="346"/>
        <v>Société Mutualiste</v>
      </c>
      <c r="Q2200" t="str">
        <f t="shared" si="341"/>
        <v>36</v>
      </c>
      <c r="R2200" t="str">
        <f t="shared" si="342"/>
        <v>Tarifs conventionnels assurance maladie</v>
      </c>
      <c r="U2200" t="str">
        <f>"690048111"</f>
        <v>690048111</v>
      </c>
    </row>
    <row r="2201" spans="1:21" x14ac:dyDescent="0.3">
      <c r="A2201" t="str">
        <f>"380014142"</f>
        <v>380014142</v>
      </c>
      <c r="B2201" t="str">
        <f>"775 761 844 00213"</f>
        <v>775 761 844 00213</v>
      </c>
      <c r="D2201" t="str">
        <f>"CENTRE DE SANTE OXANCE ECHIROLLES"</f>
        <v>CENTRE DE SANTE OXANCE ECHIROLLES</v>
      </c>
      <c r="F2201" t="str">
        <f>"32 AVENUE DANIELLE CASANOVA"</f>
        <v>32 AVENUE DANIELLE CASANOVA</v>
      </c>
      <c r="H2201" t="str">
        <f>"38130"</f>
        <v>38130</v>
      </c>
      <c r="I2201" t="str">
        <f>"ECHIROLLES"</f>
        <v>ECHIROLLES</v>
      </c>
      <c r="J2201" t="str">
        <f>"04 38 49 98 49 "</f>
        <v xml:space="preserve">04 38 49 98 49 </v>
      </c>
      <c r="K2201" t="str">
        <f>"04 76 33 84 07"</f>
        <v>04 76 33 84 07</v>
      </c>
      <c r="L2201" s="1">
        <v>38718</v>
      </c>
      <c r="M2201" t="str">
        <f t="shared" si="343"/>
        <v>124</v>
      </c>
      <c r="N2201" t="str">
        <f t="shared" si="344"/>
        <v>Centre de Santé</v>
      </c>
      <c r="O2201" t="str">
        <f t="shared" si="345"/>
        <v>47</v>
      </c>
      <c r="P2201" t="str">
        <f t="shared" si="346"/>
        <v>Société Mutualiste</v>
      </c>
      <c r="Q2201" t="str">
        <f t="shared" si="341"/>
        <v>36</v>
      </c>
      <c r="R2201" t="str">
        <f t="shared" si="342"/>
        <v>Tarifs conventionnels assurance maladie</v>
      </c>
      <c r="U2201" t="str">
        <f>"690048111"</f>
        <v>690048111</v>
      </c>
    </row>
    <row r="2202" spans="1:21" x14ac:dyDescent="0.3">
      <c r="A2202" t="str">
        <f>"380802017"</f>
        <v>380802017</v>
      </c>
      <c r="B2202" t="str">
        <f>"775 761 844 00965"</f>
        <v>775 761 844 00965</v>
      </c>
      <c r="D2202" t="str">
        <f>"CENTRE DE SANTE OXANCE SALAISE/SANNE"</f>
        <v>CENTRE DE SANTE OXANCE SALAISE/SANNE</v>
      </c>
      <c r="F2202" t="str">
        <f>"9 RUE DES CASTORS"</f>
        <v>9 RUE DES CASTORS</v>
      </c>
      <c r="H2202" t="str">
        <f>"38150"</f>
        <v>38150</v>
      </c>
      <c r="I2202" t="str">
        <f>"SALAISE SUR SANNE"</f>
        <v>SALAISE SUR SANNE</v>
      </c>
      <c r="J2202" t="str">
        <f>"04 74 11 12 80 "</f>
        <v xml:space="preserve">04 74 11 12 80 </v>
      </c>
      <c r="K2202" t="str">
        <f>"04 74 11 12 89"</f>
        <v>04 74 11 12 89</v>
      </c>
      <c r="L2202" s="1">
        <v>38718</v>
      </c>
      <c r="M2202" t="str">
        <f t="shared" si="343"/>
        <v>124</v>
      </c>
      <c r="N2202" t="str">
        <f t="shared" si="344"/>
        <v>Centre de Santé</v>
      </c>
      <c r="O2202" t="str">
        <f t="shared" si="345"/>
        <v>47</v>
      </c>
      <c r="P2202" t="str">
        <f t="shared" si="346"/>
        <v>Société Mutualiste</v>
      </c>
      <c r="Q2202" t="str">
        <f t="shared" si="341"/>
        <v>36</v>
      </c>
      <c r="R2202" t="str">
        <f t="shared" si="342"/>
        <v>Tarifs conventionnels assurance maladie</v>
      </c>
      <c r="U2202" t="str">
        <f>"690048111"</f>
        <v>690048111</v>
      </c>
    </row>
    <row r="2203" spans="1:21" x14ac:dyDescent="0.3">
      <c r="A2203" t="str">
        <f>"380803098"</f>
        <v>380803098</v>
      </c>
      <c r="B2203" t="str">
        <f>"775 761 844 01542"</f>
        <v>775 761 844 01542</v>
      </c>
      <c r="D2203" t="str">
        <f>"CENTRE DE SANTE OXANCE VOIRON"</f>
        <v>CENTRE DE SANTE OXANCE VOIRON</v>
      </c>
      <c r="F2203" t="str">
        <f>"98 BOULEVARD BECQUART CASTELBON"</f>
        <v>98 BOULEVARD BECQUART CASTELBON</v>
      </c>
      <c r="H2203" t="str">
        <f>"38500"</f>
        <v>38500</v>
      </c>
      <c r="I2203" t="str">
        <f>"VOIRON"</f>
        <v>VOIRON</v>
      </c>
      <c r="J2203" t="str">
        <f>"04 76 91 70 70 "</f>
        <v xml:space="preserve">04 76 91 70 70 </v>
      </c>
      <c r="K2203" t="str">
        <f>"04 76 91 70 75"</f>
        <v>04 76 91 70 75</v>
      </c>
      <c r="L2203" s="1">
        <v>38718</v>
      </c>
      <c r="M2203" t="str">
        <f t="shared" si="343"/>
        <v>124</v>
      </c>
      <c r="N2203" t="str">
        <f t="shared" si="344"/>
        <v>Centre de Santé</v>
      </c>
      <c r="O2203" t="str">
        <f t="shared" si="345"/>
        <v>47</v>
      </c>
      <c r="P2203" t="str">
        <f t="shared" si="346"/>
        <v>Société Mutualiste</v>
      </c>
      <c r="Q2203" t="str">
        <f t="shared" si="341"/>
        <v>36</v>
      </c>
      <c r="R2203" t="str">
        <f t="shared" si="342"/>
        <v>Tarifs conventionnels assurance maladie</v>
      </c>
      <c r="U2203" t="str">
        <f>"690048111"</f>
        <v>690048111</v>
      </c>
    </row>
    <row r="2204" spans="1:21" x14ac:dyDescent="0.3">
      <c r="A2204" t="str">
        <f>"590041448"</f>
        <v>590041448</v>
      </c>
      <c r="B2204" t="str">
        <f>"783 712 045 00310"</f>
        <v>783 712 045 00310</v>
      </c>
      <c r="D2204" t="str">
        <f>"CENTRE DE SANTE DENTAIRE"</f>
        <v>CENTRE DE SANTE DENTAIRE</v>
      </c>
      <c r="F2204" t="str">
        <f>"RUE 20/26 G CLÉMENCEAU"</f>
        <v>RUE 20/26 G CLÉMENCEAU</v>
      </c>
      <c r="H2204" t="str">
        <f>"59120"</f>
        <v>59120</v>
      </c>
      <c r="I2204" t="str">
        <f>"LOOS"</f>
        <v>LOOS</v>
      </c>
      <c r="J2204" t="str">
        <f>"03 28 82 91 55 "</f>
        <v xml:space="preserve">03 28 82 91 55 </v>
      </c>
      <c r="L2204" s="1">
        <v>38718</v>
      </c>
      <c r="M2204" t="str">
        <f t="shared" si="343"/>
        <v>124</v>
      </c>
      <c r="N2204" t="str">
        <f t="shared" si="344"/>
        <v>Centre de Santé</v>
      </c>
      <c r="O2204" t="str">
        <f t="shared" si="345"/>
        <v>47</v>
      </c>
      <c r="P2204" t="str">
        <f t="shared" si="346"/>
        <v>Société Mutualiste</v>
      </c>
      <c r="Q2204" t="str">
        <f t="shared" si="341"/>
        <v>36</v>
      </c>
      <c r="R2204" t="str">
        <f t="shared" si="342"/>
        <v>Tarifs conventionnels assurance maladie</v>
      </c>
      <c r="U2204" t="str">
        <f>"590024469"</f>
        <v>590024469</v>
      </c>
    </row>
    <row r="2205" spans="1:21" x14ac:dyDescent="0.3">
      <c r="A2205" t="str">
        <f>"590813002"</f>
        <v>590813002</v>
      </c>
      <c r="B2205" t="str">
        <f>"783 712 045 00377"</f>
        <v>783 712 045 00377</v>
      </c>
      <c r="D2205" t="str">
        <f>"CENTRE DE SANTE DENTAIRE"</f>
        <v>CENTRE DE SANTE DENTAIRE</v>
      </c>
      <c r="F2205" t="str">
        <f>"39 RUE MONGAT"</f>
        <v>39 RUE MONGAT</v>
      </c>
      <c r="G2205" t="str">
        <f>"BP 59"</f>
        <v>BP 59</v>
      </c>
      <c r="H2205" t="str">
        <f>"59501"</f>
        <v>59501</v>
      </c>
      <c r="I2205" t="str">
        <f>"DOUAI CEDEX"</f>
        <v>DOUAI CEDEX</v>
      </c>
      <c r="J2205" t="str">
        <f>"03 27 99 19 10 "</f>
        <v xml:space="preserve">03 27 99 19 10 </v>
      </c>
      <c r="L2205" s="1">
        <v>38718</v>
      </c>
      <c r="M2205" t="str">
        <f t="shared" si="343"/>
        <v>124</v>
      </c>
      <c r="N2205" t="str">
        <f t="shared" si="344"/>
        <v>Centre de Santé</v>
      </c>
      <c r="O2205" t="str">
        <f t="shared" si="345"/>
        <v>47</v>
      </c>
      <c r="P2205" t="str">
        <f t="shared" si="346"/>
        <v>Société Mutualiste</v>
      </c>
      <c r="Q2205" t="str">
        <f t="shared" si="341"/>
        <v>36</v>
      </c>
      <c r="R2205" t="str">
        <f t="shared" si="342"/>
        <v>Tarifs conventionnels assurance maladie</v>
      </c>
      <c r="U2205" t="str">
        <f>"590024469"</f>
        <v>590024469</v>
      </c>
    </row>
    <row r="2206" spans="1:21" x14ac:dyDescent="0.3">
      <c r="A2206" t="str">
        <f>"750018178"</f>
        <v>750018178</v>
      </c>
      <c r="D2206" t="str">
        <f>"CDS DENTAIRE PELLEPORT"</f>
        <v>CDS DENTAIRE PELLEPORT</v>
      </c>
      <c r="F2206" t="str">
        <f>"62 RUE PELLEPORT"</f>
        <v>62 RUE PELLEPORT</v>
      </c>
      <c r="H2206" t="str">
        <f>"75020"</f>
        <v>75020</v>
      </c>
      <c r="I2206" t="str">
        <f>"PARIS"</f>
        <v>PARIS</v>
      </c>
      <c r="J2206" t="str">
        <f>"01 53 39 11 20 "</f>
        <v xml:space="preserve">01 53 39 11 20 </v>
      </c>
      <c r="L2206" s="1">
        <v>38688</v>
      </c>
      <c r="M2206" t="str">
        <f t="shared" si="343"/>
        <v>124</v>
      </c>
      <c r="N2206" t="str">
        <f t="shared" si="344"/>
        <v>Centre de Santé</v>
      </c>
      <c r="O2206" t="str">
        <f>"60"</f>
        <v>60</v>
      </c>
      <c r="P2206" t="str">
        <f>"Association Loi 1901 non Reconnue d'Utilité Publique"</f>
        <v>Association Loi 1901 non Reconnue d'Utilité Publique</v>
      </c>
      <c r="Q2206" t="str">
        <f t="shared" si="341"/>
        <v>36</v>
      </c>
      <c r="R2206" t="str">
        <f t="shared" si="342"/>
        <v>Tarifs conventionnels assurance maladie</v>
      </c>
      <c r="U2206" t="str">
        <f>"750062895"</f>
        <v>750062895</v>
      </c>
    </row>
    <row r="2207" spans="1:21" x14ac:dyDescent="0.3">
      <c r="A2207" t="str">
        <f>"290030584"</f>
        <v>290030584</v>
      </c>
      <c r="B2207" t="str">
        <f>"395 171 226 00115"</f>
        <v>395 171 226 00115</v>
      </c>
      <c r="D2207" t="str">
        <f>"MUTUALITE SOINS &amp; SERVICES CDS QUIMPER"</f>
        <v>MUTUALITE SOINS &amp; SERVICES CDS QUIMPER</v>
      </c>
      <c r="F2207" t="str">
        <f>"90 RUE DE KERJESTIN"</f>
        <v>90 RUE DE KERJESTIN</v>
      </c>
      <c r="H2207" t="str">
        <f>"29000"</f>
        <v>29000</v>
      </c>
      <c r="I2207" t="str">
        <f>"QUIMPER"</f>
        <v>QUIMPER</v>
      </c>
      <c r="J2207" t="str">
        <f>"02 98 55 10 05 "</f>
        <v xml:space="preserve">02 98 55 10 05 </v>
      </c>
      <c r="L2207" s="1">
        <v>38680</v>
      </c>
      <c r="M2207" t="str">
        <f t="shared" si="343"/>
        <v>124</v>
      </c>
      <c r="N2207" t="str">
        <f t="shared" si="344"/>
        <v>Centre de Santé</v>
      </c>
      <c r="O2207" t="str">
        <f>"47"</f>
        <v>47</v>
      </c>
      <c r="P2207" t="str">
        <f>"Société Mutualiste"</f>
        <v>Société Mutualiste</v>
      </c>
      <c r="Q2207" t="str">
        <f t="shared" si="341"/>
        <v>36</v>
      </c>
      <c r="R2207" t="str">
        <f t="shared" si="342"/>
        <v>Tarifs conventionnels assurance maladie</v>
      </c>
      <c r="U2207" t="str">
        <f>"560025025"</f>
        <v>560025025</v>
      </c>
    </row>
    <row r="2208" spans="1:21" x14ac:dyDescent="0.3">
      <c r="A2208" t="str">
        <f>"830010328"</f>
        <v>830010328</v>
      </c>
      <c r="B2208" t="str">
        <f>"315 281 451 00049"</f>
        <v>315 281 451 00049</v>
      </c>
      <c r="D2208" t="str">
        <f>"CDS POLYVALENT"</f>
        <v>CDS POLYVALENT</v>
      </c>
      <c r="F2208" t="str">
        <f>"203 CHEMIN DE FAVEYROLLES"</f>
        <v>203 CHEMIN DE FAVEYROLLES</v>
      </c>
      <c r="H2208" t="str">
        <f>"83190"</f>
        <v>83190</v>
      </c>
      <c r="I2208" t="str">
        <f>"OLLIOULES"</f>
        <v>OLLIOULES</v>
      </c>
      <c r="J2208" t="str">
        <f>"04 94 89 89 94 "</f>
        <v xml:space="preserve">04 94 89 89 94 </v>
      </c>
      <c r="K2208" t="str">
        <f>"04 94 89 89 95"</f>
        <v>04 94 89 89 95</v>
      </c>
      <c r="L2208" s="1">
        <v>38673</v>
      </c>
      <c r="M2208" t="str">
        <f t="shared" si="343"/>
        <v>124</v>
      </c>
      <c r="N2208" t="str">
        <f t="shared" si="344"/>
        <v>Centre de Santé</v>
      </c>
      <c r="O2208" t="str">
        <f>"47"</f>
        <v>47</v>
      </c>
      <c r="P2208" t="str">
        <f>"Société Mutualiste"</f>
        <v>Société Mutualiste</v>
      </c>
      <c r="Q2208" t="str">
        <f t="shared" si="341"/>
        <v>36</v>
      </c>
      <c r="R2208" t="str">
        <f t="shared" si="342"/>
        <v>Tarifs conventionnels assurance maladie</v>
      </c>
      <c r="U2208" t="str">
        <f>"830210084"</f>
        <v>830210084</v>
      </c>
    </row>
    <row r="2209" spans="1:21" x14ac:dyDescent="0.3">
      <c r="A2209" t="str">
        <f>"620111294"</f>
        <v>620111294</v>
      </c>
      <c r="B2209" t="str">
        <f>"783 712 045 00724"</f>
        <v>783 712 045 00724</v>
      </c>
      <c r="D2209" t="str">
        <f>"CENTRE DE SANTÉ DENTAIRE CALAIS"</f>
        <v>CENTRE DE SANTÉ DENTAIRE CALAIS</v>
      </c>
      <c r="F2209" t="str">
        <f>"38 RUE DE LA TANNERIE"</f>
        <v>38 RUE DE LA TANNERIE</v>
      </c>
      <c r="H2209" t="str">
        <f>"62100"</f>
        <v>62100</v>
      </c>
      <c r="I2209" t="str">
        <f>"CALAIS"</f>
        <v>CALAIS</v>
      </c>
      <c r="J2209" t="str">
        <f>"03 21 36 61 00 "</f>
        <v xml:space="preserve">03 21 36 61 00 </v>
      </c>
      <c r="K2209" t="str">
        <f>"03 21 36 55 14"</f>
        <v>03 21 36 55 14</v>
      </c>
      <c r="L2209" s="1">
        <v>38658</v>
      </c>
      <c r="M2209" t="str">
        <f t="shared" si="343"/>
        <v>124</v>
      </c>
      <c r="N2209" t="str">
        <f t="shared" si="344"/>
        <v>Centre de Santé</v>
      </c>
      <c r="O2209" t="str">
        <f>"47"</f>
        <v>47</v>
      </c>
      <c r="P2209" t="str">
        <f>"Société Mutualiste"</f>
        <v>Société Mutualiste</v>
      </c>
      <c r="Q2209" t="str">
        <f t="shared" si="341"/>
        <v>36</v>
      </c>
      <c r="R2209" t="str">
        <f t="shared" si="342"/>
        <v>Tarifs conventionnels assurance maladie</v>
      </c>
      <c r="U2209" t="str">
        <f>"590024469"</f>
        <v>590024469</v>
      </c>
    </row>
    <row r="2210" spans="1:21" x14ac:dyDescent="0.3">
      <c r="A2210" t="str">
        <f>"810004929"</f>
        <v>810004929</v>
      </c>
      <c r="B2210" t="str">
        <f>"775 711 674 01213"</f>
        <v>775 711 674 01213</v>
      </c>
      <c r="D2210" t="str">
        <f>"CENTRE SANTE DENTAIRE LAVAUR"</f>
        <v>CENTRE SANTE DENTAIRE LAVAUR</v>
      </c>
      <c r="F2210" t="str">
        <f>"20 AVENUE PIERRE FABRE"</f>
        <v>20 AVENUE PIERRE FABRE</v>
      </c>
      <c r="G2210" t="str">
        <f>"BÂT D"</f>
        <v>BÂT D</v>
      </c>
      <c r="H2210" t="str">
        <f>"81500"</f>
        <v>81500</v>
      </c>
      <c r="I2210" t="str">
        <f>"LAVAUR"</f>
        <v>LAVAUR</v>
      </c>
      <c r="J2210" t="str">
        <f>"05 63 83 64 47 "</f>
        <v xml:space="preserve">05 63 83 64 47 </v>
      </c>
      <c r="K2210" t="str">
        <f>"05 63 83 44 44"</f>
        <v>05 63 83 44 44</v>
      </c>
      <c r="L2210" s="1">
        <v>38629</v>
      </c>
      <c r="M2210" t="str">
        <f t="shared" si="343"/>
        <v>124</v>
      </c>
      <c r="N2210" t="str">
        <f t="shared" si="344"/>
        <v>Centre de Santé</v>
      </c>
      <c r="O2210" t="str">
        <f>"47"</f>
        <v>47</v>
      </c>
      <c r="P2210" t="str">
        <f>"Société Mutualiste"</f>
        <v>Société Mutualiste</v>
      </c>
      <c r="Q2210" t="str">
        <f t="shared" si="341"/>
        <v>36</v>
      </c>
      <c r="R2210" t="str">
        <f t="shared" si="342"/>
        <v>Tarifs conventionnels assurance maladie</v>
      </c>
      <c r="U2210" t="str">
        <f>"810099903"</f>
        <v>810099903</v>
      </c>
    </row>
    <row r="2211" spans="1:21" x14ac:dyDescent="0.3">
      <c r="A2211" t="str">
        <f>"510000656"</f>
        <v>510000656</v>
      </c>
      <c r="B2211" t="str">
        <f>"451 513 618 00038"</f>
        <v>451 513 618 00038</v>
      </c>
      <c r="D2211" t="str">
        <f>"CENTRE DE SOINS INFIRMIERS"</f>
        <v>CENTRE DE SOINS INFIRMIERS</v>
      </c>
      <c r="F2211" t="str">
        <f>"79 AVENUE DE SAINTE-MENEHOULD"</f>
        <v>79 AVENUE DE SAINTE-MENEHOULD</v>
      </c>
      <c r="H2211" t="str">
        <f>"51000"</f>
        <v>51000</v>
      </c>
      <c r="I2211" t="str">
        <f>"CHALONS EN CHAMPAGNE"</f>
        <v>CHALONS EN CHAMPAGNE</v>
      </c>
      <c r="J2211" t="str">
        <f>"03 26 68 05 36 "</f>
        <v xml:space="preserve">03 26 68 05 36 </v>
      </c>
      <c r="K2211" t="str">
        <f>"03 26 22 96 26"</f>
        <v>03 26 22 96 26</v>
      </c>
      <c r="L2211" s="1">
        <v>38617</v>
      </c>
      <c r="M2211" t="str">
        <f t="shared" si="343"/>
        <v>124</v>
      </c>
      <c r="N2211" t="str">
        <f t="shared" si="344"/>
        <v>Centre de Santé</v>
      </c>
      <c r="O2211" t="str">
        <f>"60"</f>
        <v>60</v>
      </c>
      <c r="P2211" t="str">
        <f>"Association Loi 1901 non Reconnue d'Utilité Publique"</f>
        <v>Association Loi 1901 non Reconnue d'Utilité Publique</v>
      </c>
      <c r="Q2211" t="str">
        <f t="shared" si="341"/>
        <v>36</v>
      </c>
      <c r="R2211" t="str">
        <f t="shared" si="342"/>
        <v>Tarifs conventionnels assurance maladie</v>
      </c>
      <c r="U2211" t="str">
        <f>"510013519"</f>
        <v>510013519</v>
      </c>
    </row>
    <row r="2212" spans="1:21" x14ac:dyDescent="0.3">
      <c r="A2212" t="str">
        <f>"590803250"</f>
        <v>590803250</v>
      </c>
      <c r="B2212" t="str">
        <f>"775 685 316 02500"</f>
        <v>775 685 316 02500</v>
      </c>
      <c r="D2212" t="str">
        <f>"CSP FILIERIS D'ANICHE"</f>
        <v>CSP FILIERIS D'ANICHE</v>
      </c>
      <c r="F2212" t="str">
        <f>"37 RUE DELFORGE"</f>
        <v>37 RUE DELFORGE</v>
      </c>
      <c r="H2212" t="str">
        <f>"59580"</f>
        <v>59580</v>
      </c>
      <c r="I2212" t="str">
        <f>"ANICHE"</f>
        <v>ANICHE</v>
      </c>
      <c r="J2212" t="str">
        <f>"03 27 91 00 72 "</f>
        <v xml:space="preserve">03 27 91 00 72 </v>
      </c>
      <c r="L2212" s="1">
        <v>38569</v>
      </c>
      <c r="M2212" t="str">
        <f t="shared" si="343"/>
        <v>124</v>
      </c>
      <c r="N2212" t="str">
        <f t="shared" si="344"/>
        <v>Centre de Santé</v>
      </c>
      <c r="O2212" t="str">
        <f t="shared" ref="O2212:O2218" si="347">"41"</f>
        <v>41</v>
      </c>
      <c r="P2212" t="str">
        <f t="shared" ref="P2212:P2218" si="348">"Régime Spécial de Sécurité Sociale"</f>
        <v>Régime Spécial de Sécurité Sociale</v>
      </c>
      <c r="Q2212" t="str">
        <f t="shared" ref="Q2212:Q2275" si="349">"36"</f>
        <v>36</v>
      </c>
      <c r="R2212" t="str">
        <f t="shared" ref="R2212:R2275" si="350">"Tarifs conventionnels assurance maladie"</f>
        <v>Tarifs conventionnels assurance maladie</v>
      </c>
      <c r="U2212" t="str">
        <f t="shared" ref="U2212:U2218" si="351">"750050759"</f>
        <v>750050759</v>
      </c>
    </row>
    <row r="2213" spans="1:21" x14ac:dyDescent="0.3">
      <c r="A2213" t="str">
        <f>"590803276"</f>
        <v>590803276</v>
      </c>
      <c r="B2213" t="str">
        <f>"775 685 316 02377"</f>
        <v>775 685 316 02377</v>
      </c>
      <c r="D2213" t="str">
        <f>"CSP FILIERIS DE GUESNAIN"</f>
        <v>CSP FILIERIS DE GUESNAIN</v>
      </c>
      <c r="F2213" t="str">
        <f>"79 RUE JULIAN GRIMAU"</f>
        <v>79 RUE JULIAN GRIMAU</v>
      </c>
      <c r="H2213" t="str">
        <f>"59287"</f>
        <v>59287</v>
      </c>
      <c r="I2213" t="str">
        <f>"GUESNAIN"</f>
        <v>GUESNAIN</v>
      </c>
      <c r="J2213" t="str">
        <f>"03 27 98 60 99 "</f>
        <v xml:space="preserve">03 27 98 60 99 </v>
      </c>
      <c r="L2213" s="1">
        <v>38561</v>
      </c>
      <c r="M2213" t="str">
        <f t="shared" si="343"/>
        <v>124</v>
      </c>
      <c r="N2213" t="str">
        <f t="shared" si="344"/>
        <v>Centre de Santé</v>
      </c>
      <c r="O2213" t="str">
        <f t="shared" si="347"/>
        <v>41</v>
      </c>
      <c r="P2213" t="str">
        <f t="shared" si="348"/>
        <v>Régime Spécial de Sécurité Sociale</v>
      </c>
      <c r="Q2213" t="str">
        <f t="shared" si="349"/>
        <v>36</v>
      </c>
      <c r="R2213" t="str">
        <f t="shared" si="350"/>
        <v>Tarifs conventionnels assurance maladie</v>
      </c>
      <c r="U2213" t="str">
        <f t="shared" si="351"/>
        <v>750050759</v>
      </c>
    </row>
    <row r="2214" spans="1:21" x14ac:dyDescent="0.3">
      <c r="A2214" t="str">
        <f>"590803300"</f>
        <v>590803300</v>
      </c>
      <c r="B2214" t="str">
        <f>"775 685 316 01247"</f>
        <v>775 685 316 01247</v>
      </c>
      <c r="D2214" t="str">
        <f>"CSP FILIERIS DE SIN LE NOBLE"</f>
        <v>CSP FILIERIS DE SIN LE NOBLE</v>
      </c>
      <c r="E2214" t="str">
        <f>"FRAIS MARAIS"</f>
        <v>FRAIS MARAIS</v>
      </c>
      <c r="F2214" t="str">
        <f>"301 RUE BARBUSSE"</f>
        <v>301 RUE BARBUSSE</v>
      </c>
      <c r="H2214" t="str">
        <f>"59450"</f>
        <v>59450</v>
      </c>
      <c r="I2214" t="str">
        <f>"SIN LE NOBLE"</f>
        <v>SIN LE NOBLE</v>
      </c>
      <c r="J2214" t="str">
        <f>"03 27 88 47 52 "</f>
        <v xml:space="preserve">03 27 88 47 52 </v>
      </c>
      <c r="L2214" s="1">
        <v>38561</v>
      </c>
      <c r="M2214" t="str">
        <f t="shared" si="343"/>
        <v>124</v>
      </c>
      <c r="N2214" t="str">
        <f t="shared" si="344"/>
        <v>Centre de Santé</v>
      </c>
      <c r="O2214" t="str">
        <f t="shared" si="347"/>
        <v>41</v>
      </c>
      <c r="P2214" t="str">
        <f t="shared" si="348"/>
        <v>Régime Spécial de Sécurité Sociale</v>
      </c>
      <c r="Q2214" t="str">
        <f t="shared" si="349"/>
        <v>36</v>
      </c>
      <c r="R2214" t="str">
        <f t="shared" si="350"/>
        <v>Tarifs conventionnels assurance maladie</v>
      </c>
      <c r="U2214" t="str">
        <f t="shared" si="351"/>
        <v>750050759</v>
      </c>
    </row>
    <row r="2215" spans="1:21" x14ac:dyDescent="0.3">
      <c r="A2215" t="str">
        <f>"620113746"</f>
        <v>620113746</v>
      </c>
      <c r="B2215" t="str">
        <f>"775 685 316 01965"</f>
        <v>775 685 316 01965</v>
      </c>
      <c r="D2215" t="str">
        <f>"CSP FILIERIS DE BEUVRY"</f>
        <v>CSP FILIERIS DE BEUVRY</v>
      </c>
      <c r="F2215" t="str">
        <f>"17 RUE GOSSELIN"</f>
        <v>17 RUE GOSSELIN</v>
      </c>
      <c r="H2215" t="str">
        <f>"62660"</f>
        <v>62660</v>
      </c>
      <c r="I2215" t="str">
        <f>"BEUVRY"</f>
        <v>BEUVRY</v>
      </c>
      <c r="J2215" t="str">
        <f>"03 21 65 15 12 "</f>
        <v xml:space="preserve">03 21 65 15 12 </v>
      </c>
      <c r="L2215" s="1">
        <v>38561</v>
      </c>
      <c r="M2215" t="str">
        <f t="shared" si="343"/>
        <v>124</v>
      </c>
      <c r="N2215" t="str">
        <f t="shared" si="344"/>
        <v>Centre de Santé</v>
      </c>
      <c r="O2215" t="str">
        <f t="shared" si="347"/>
        <v>41</v>
      </c>
      <c r="P2215" t="str">
        <f t="shared" si="348"/>
        <v>Régime Spécial de Sécurité Sociale</v>
      </c>
      <c r="Q2215" t="str">
        <f t="shared" si="349"/>
        <v>36</v>
      </c>
      <c r="R2215" t="str">
        <f t="shared" si="350"/>
        <v>Tarifs conventionnels assurance maladie</v>
      </c>
      <c r="U2215" t="str">
        <f t="shared" si="351"/>
        <v>750050759</v>
      </c>
    </row>
    <row r="2216" spans="1:21" x14ac:dyDescent="0.3">
      <c r="A2216" t="str">
        <f>"620113761"</f>
        <v>620113761</v>
      </c>
      <c r="B2216" t="str">
        <f>"775 685 316 01700"</f>
        <v>775 685 316 01700</v>
      </c>
      <c r="D2216" t="str">
        <f>"CSP FILIERIS DE NOEUX LES MINES"</f>
        <v>CSP FILIERIS DE NOEUX LES MINES</v>
      </c>
      <c r="F2216" t="str">
        <f>"339 ROUTE NATIONALE"</f>
        <v>339 ROUTE NATIONALE</v>
      </c>
      <c r="H2216" t="str">
        <f>"62290"</f>
        <v>62290</v>
      </c>
      <c r="I2216" t="str">
        <f>"NOEUX LES MINES"</f>
        <v>NOEUX LES MINES</v>
      </c>
      <c r="J2216" t="str">
        <f>"03 21 26 48 73 "</f>
        <v xml:space="preserve">03 21 26 48 73 </v>
      </c>
      <c r="L2216" s="1">
        <v>38561</v>
      </c>
      <c r="M2216" t="str">
        <f t="shared" si="343"/>
        <v>124</v>
      </c>
      <c r="N2216" t="str">
        <f t="shared" si="344"/>
        <v>Centre de Santé</v>
      </c>
      <c r="O2216" t="str">
        <f t="shared" si="347"/>
        <v>41</v>
      </c>
      <c r="P2216" t="str">
        <f t="shared" si="348"/>
        <v>Régime Spécial de Sécurité Sociale</v>
      </c>
      <c r="Q2216" t="str">
        <f t="shared" si="349"/>
        <v>36</v>
      </c>
      <c r="R2216" t="str">
        <f t="shared" si="350"/>
        <v>Tarifs conventionnels assurance maladie</v>
      </c>
      <c r="U2216" t="str">
        <f t="shared" si="351"/>
        <v>750050759</v>
      </c>
    </row>
    <row r="2217" spans="1:21" x14ac:dyDescent="0.3">
      <c r="A2217" t="str">
        <f>"620114363"</f>
        <v>620114363</v>
      </c>
      <c r="B2217" t="str">
        <f>"775 685 316 01023"</f>
        <v>775 685 316 01023</v>
      </c>
      <c r="D2217" t="str">
        <f>"CSP FILIERIS DE SALLAUMINES"</f>
        <v>CSP FILIERIS DE SALLAUMINES</v>
      </c>
      <c r="F2217" t="str">
        <f>"179 RUE SÉRAPHIN CORDIER"</f>
        <v>179 RUE SÉRAPHIN CORDIER</v>
      </c>
      <c r="H2217" t="str">
        <f>"62430"</f>
        <v>62430</v>
      </c>
      <c r="I2217" t="str">
        <f>"SALLAUMINES"</f>
        <v>SALLAUMINES</v>
      </c>
      <c r="J2217" t="str">
        <f>"03 21 67 57 29 "</f>
        <v xml:space="preserve">03 21 67 57 29 </v>
      </c>
      <c r="K2217" t="str">
        <f>"03 21 61 57 29"</f>
        <v>03 21 61 57 29</v>
      </c>
      <c r="L2217" s="1">
        <v>38561</v>
      </c>
      <c r="M2217" t="str">
        <f t="shared" si="343"/>
        <v>124</v>
      </c>
      <c r="N2217" t="str">
        <f t="shared" si="344"/>
        <v>Centre de Santé</v>
      </c>
      <c r="O2217" t="str">
        <f t="shared" si="347"/>
        <v>41</v>
      </c>
      <c r="P2217" t="str">
        <f t="shared" si="348"/>
        <v>Régime Spécial de Sécurité Sociale</v>
      </c>
      <c r="Q2217" t="str">
        <f t="shared" si="349"/>
        <v>36</v>
      </c>
      <c r="R2217" t="str">
        <f t="shared" si="350"/>
        <v>Tarifs conventionnels assurance maladie</v>
      </c>
      <c r="U2217" t="str">
        <f t="shared" si="351"/>
        <v>750050759</v>
      </c>
    </row>
    <row r="2218" spans="1:21" x14ac:dyDescent="0.3">
      <c r="A2218" t="str">
        <f>"620114736"</f>
        <v>620114736</v>
      </c>
      <c r="B2218" t="str">
        <f>"775 685 316 02088"</f>
        <v>775 685 316 02088</v>
      </c>
      <c r="D2218" t="str">
        <f>"CSP FILIERIS DE CARVIN"</f>
        <v>CSP FILIERIS DE CARVIN</v>
      </c>
      <c r="F2218" t="str">
        <f>"3 RUE DE L'AVENIR"</f>
        <v>3 RUE DE L'AVENIR</v>
      </c>
      <c r="H2218" t="str">
        <f>"62220"</f>
        <v>62220</v>
      </c>
      <c r="I2218" t="str">
        <f>"CARVIN"</f>
        <v>CARVIN</v>
      </c>
      <c r="J2218" t="str">
        <f>"03 21 08 94 50 "</f>
        <v xml:space="preserve">03 21 08 94 50 </v>
      </c>
      <c r="L2218" s="1">
        <v>38561</v>
      </c>
      <c r="M2218" t="str">
        <f t="shared" si="343"/>
        <v>124</v>
      </c>
      <c r="N2218" t="str">
        <f t="shared" si="344"/>
        <v>Centre de Santé</v>
      </c>
      <c r="O2218" t="str">
        <f t="shared" si="347"/>
        <v>41</v>
      </c>
      <c r="P2218" t="str">
        <f t="shared" si="348"/>
        <v>Régime Spécial de Sécurité Sociale</v>
      </c>
      <c r="Q2218" t="str">
        <f t="shared" si="349"/>
        <v>36</v>
      </c>
      <c r="R2218" t="str">
        <f t="shared" si="350"/>
        <v>Tarifs conventionnels assurance maladie</v>
      </c>
      <c r="U2218" t="str">
        <f t="shared" si="351"/>
        <v>750050759</v>
      </c>
    </row>
    <row r="2219" spans="1:21" x14ac:dyDescent="0.3">
      <c r="A2219" t="str">
        <f>"110004538"</f>
        <v>110004538</v>
      </c>
      <c r="B2219" t="str">
        <f>"512 611 781 00497"</f>
        <v>512 611 781 00497</v>
      </c>
      <c r="D2219" t="str">
        <f>"CENTRE DE SANTE DENTAIRE NARBONNE BS"</f>
        <v>CENTRE DE SANTE DENTAIRE NARBONNE BS</v>
      </c>
      <c r="F2219" t="str">
        <f>"29 RUE ERNEST COGNAC"</f>
        <v>29 RUE ERNEST COGNAC</v>
      </c>
      <c r="H2219" t="str">
        <f>"11100"</f>
        <v>11100</v>
      </c>
      <c r="I2219" t="str">
        <f>"NARBONNE"</f>
        <v>NARBONNE</v>
      </c>
      <c r="J2219" t="str">
        <f>"04 68 43 34 33 "</f>
        <v xml:space="preserve">04 68 43 34 33 </v>
      </c>
      <c r="K2219" t="str">
        <f>"04 68 43 34 34"</f>
        <v>04 68 43 34 34</v>
      </c>
      <c r="L2219" s="1">
        <v>38560</v>
      </c>
      <c r="M2219" t="str">
        <f t="shared" si="343"/>
        <v>124</v>
      </c>
      <c r="N2219" t="str">
        <f t="shared" si="344"/>
        <v>Centre de Santé</v>
      </c>
      <c r="O2219" t="str">
        <f>"60"</f>
        <v>60</v>
      </c>
      <c r="P2219" t="str">
        <f>"Association Loi 1901 non Reconnue d'Utilité Publique"</f>
        <v>Association Loi 1901 non Reconnue d'Utilité Publique</v>
      </c>
      <c r="Q2219" t="str">
        <f t="shared" si="349"/>
        <v>36</v>
      </c>
      <c r="R2219" t="str">
        <f t="shared" si="350"/>
        <v>Tarifs conventionnels assurance maladie</v>
      </c>
      <c r="U2219" t="str">
        <f>"840019210"</f>
        <v>840019210</v>
      </c>
    </row>
    <row r="2220" spans="1:21" x14ac:dyDescent="0.3">
      <c r="A2220" t="str">
        <f>"590812525"</f>
        <v>590812525</v>
      </c>
      <c r="B2220" t="str">
        <f>"775 685 316 02864"</f>
        <v>775 685 316 02864</v>
      </c>
      <c r="D2220" t="str">
        <f>"CSP FILIERIS D'OSTRICOURT"</f>
        <v>CSP FILIERIS D'OSTRICOURT</v>
      </c>
      <c r="F2220" t="str">
        <f>"515 BOULEVARD DES 25 NONNES"</f>
        <v>515 BOULEVARD DES 25 NONNES</v>
      </c>
      <c r="H2220" t="str">
        <f>"59162"</f>
        <v>59162</v>
      </c>
      <c r="I2220" t="str">
        <f>"OSTRICOURT"</f>
        <v>OSTRICOURT</v>
      </c>
      <c r="J2220" t="str">
        <f>"03 27 88 81 09 "</f>
        <v xml:space="preserve">03 27 88 81 09 </v>
      </c>
      <c r="L2220" s="1">
        <v>38558</v>
      </c>
      <c r="M2220" t="str">
        <f t="shared" si="343"/>
        <v>124</v>
      </c>
      <c r="N2220" t="str">
        <f t="shared" si="344"/>
        <v>Centre de Santé</v>
      </c>
      <c r="O2220" t="str">
        <f>"41"</f>
        <v>41</v>
      </c>
      <c r="P2220" t="str">
        <f>"Régime Spécial de Sécurité Sociale"</f>
        <v>Régime Spécial de Sécurité Sociale</v>
      </c>
      <c r="Q2220" t="str">
        <f t="shared" si="349"/>
        <v>36</v>
      </c>
      <c r="R2220" t="str">
        <f t="shared" si="350"/>
        <v>Tarifs conventionnels assurance maladie</v>
      </c>
      <c r="U2220" t="str">
        <f>"750050759"</f>
        <v>750050759</v>
      </c>
    </row>
    <row r="2221" spans="1:21" x14ac:dyDescent="0.3">
      <c r="A2221" t="str">
        <f>"700002058"</f>
        <v>700002058</v>
      </c>
      <c r="B2221" t="str">
        <f>"778 542 969 00275"</f>
        <v>778 542 969 00275</v>
      </c>
      <c r="D2221" t="str">
        <f>"CTRE SANTE DENTAIRE MUTUALISTE"</f>
        <v>CTRE SANTE DENTAIRE MUTUALISTE</v>
      </c>
      <c r="F2221" t="str">
        <f>"2 RUE EDGAR FAURE"</f>
        <v>2 RUE EDGAR FAURE</v>
      </c>
      <c r="G2221" t="str">
        <f>"ZAC DE LA LIZAINE"</f>
        <v>ZAC DE LA LIZAINE</v>
      </c>
      <c r="H2221" t="str">
        <f>"70400"</f>
        <v>70400</v>
      </c>
      <c r="I2221" t="str">
        <f>"HERICOURT"</f>
        <v>HERICOURT</v>
      </c>
      <c r="J2221" t="str">
        <f>"03 84 56 85 97 "</f>
        <v xml:space="preserve">03 84 56 85 97 </v>
      </c>
      <c r="K2221" t="str">
        <f>"03 84 56 82 10"</f>
        <v>03 84 56 82 10</v>
      </c>
      <c r="L2221" s="1">
        <v>38553</v>
      </c>
      <c r="M2221" t="str">
        <f t="shared" si="343"/>
        <v>124</v>
      </c>
      <c r="N2221" t="str">
        <f t="shared" si="344"/>
        <v>Centre de Santé</v>
      </c>
      <c r="O2221" t="str">
        <f>"47"</f>
        <v>47</v>
      </c>
      <c r="P2221" t="str">
        <f>"Société Mutualiste"</f>
        <v>Société Mutualiste</v>
      </c>
      <c r="Q2221" t="str">
        <f t="shared" si="349"/>
        <v>36</v>
      </c>
      <c r="R2221" t="str">
        <f t="shared" si="350"/>
        <v>Tarifs conventionnels assurance maladie</v>
      </c>
      <c r="U2221" t="str">
        <f>"700783954"</f>
        <v>700783954</v>
      </c>
    </row>
    <row r="2222" spans="1:21" x14ac:dyDescent="0.3">
      <c r="A2222" t="str">
        <f>"620113423"</f>
        <v>620113423</v>
      </c>
      <c r="B2222" t="str">
        <f>"775 685 316 02492"</f>
        <v>775 685 316 02492</v>
      </c>
      <c r="D2222" t="str">
        <f>"CSP FILIERIS DE ANGRES"</f>
        <v>CSP FILIERIS DE ANGRES</v>
      </c>
      <c r="F2222" t="str">
        <f>"2 RUE DES NORMANDS"</f>
        <v>2 RUE DES NORMANDS</v>
      </c>
      <c r="H2222" t="str">
        <f>"62143"</f>
        <v>62143</v>
      </c>
      <c r="I2222" t="str">
        <f>"ANGRES"</f>
        <v>ANGRES</v>
      </c>
      <c r="J2222" t="str">
        <f>"03 21 45 05 62 "</f>
        <v xml:space="preserve">03 21 45 05 62 </v>
      </c>
      <c r="L2222" s="1">
        <v>38539</v>
      </c>
      <c r="M2222" t="str">
        <f t="shared" si="343"/>
        <v>124</v>
      </c>
      <c r="N2222" t="str">
        <f t="shared" si="344"/>
        <v>Centre de Santé</v>
      </c>
      <c r="O2222" t="str">
        <f t="shared" ref="O2222:O2229" si="352">"41"</f>
        <v>41</v>
      </c>
      <c r="P2222" t="str">
        <f t="shared" ref="P2222:P2229" si="353">"Régime Spécial de Sécurité Sociale"</f>
        <v>Régime Spécial de Sécurité Sociale</v>
      </c>
      <c r="Q2222" t="str">
        <f t="shared" si="349"/>
        <v>36</v>
      </c>
      <c r="R2222" t="str">
        <f t="shared" si="350"/>
        <v>Tarifs conventionnels assurance maladie</v>
      </c>
      <c r="U2222" t="str">
        <f t="shared" ref="U2222:U2229" si="354">"750050759"</f>
        <v>750050759</v>
      </c>
    </row>
    <row r="2223" spans="1:21" x14ac:dyDescent="0.3">
      <c r="A2223" t="str">
        <f>"620113498"</f>
        <v>620113498</v>
      </c>
      <c r="B2223" t="str">
        <f>"775 685 316 01395"</f>
        <v>775 685 316 01395</v>
      </c>
      <c r="D2223" t="str">
        <f>"CSP FILIERIS DE LIÉVIN"</f>
        <v>CSP FILIERIS DE LIÉVIN</v>
      </c>
      <c r="F2223" t="str">
        <f>"38 RUE JULES BEDART"</f>
        <v>38 RUE JULES BEDART</v>
      </c>
      <c r="H2223" t="str">
        <f>"62800"</f>
        <v>62800</v>
      </c>
      <c r="I2223" t="str">
        <f>"LIEVIN"</f>
        <v>LIEVIN</v>
      </c>
      <c r="J2223" t="str">
        <f>"03 21 72 57 63 "</f>
        <v xml:space="preserve">03 21 72 57 63 </v>
      </c>
      <c r="L2223" s="1">
        <v>38539</v>
      </c>
      <c r="M2223" t="str">
        <f t="shared" si="343"/>
        <v>124</v>
      </c>
      <c r="N2223" t="str">
        <f t="shared" si="344"/>
        <v>Centre de Santé</v>
      </c>
      <c r="O2223" t="str">
        <f t="shared" si="352"/>
        <v>41</v>
      </c>
      <c r="P2223" t="str">
        <f t="shared" si="353"/>
        <v>Régime Spécial de Sécurité Sociale</v>
      </c>
      <c r="Q2223" t="str">
        <f t="shared" si="349"/>
        <v>36</v>
      </c>
      <c r="R2223" t="str">
        <f t="shared" si="350"/>
        <v>Tarifs conventionnels assurance maladie</v>
      </c>
      <c r="U2223" t="str">
        <f t="shared" si="354"/>
        <v>750050759</v>
      </c>
    </row>
    <row r="2224" spans="1:21" x14ac:dyDescent="0.3">
      <c r="A2224" t="str">
        <f>"620113530"</f>
        <v>620113530</v>
      </c>
      <c r="B2224" t="str">
        <f>"775 685 316 02054"</f>
        <v>775 685 316 02054</v>
      </c>
      <c r="D2224" t="str">
        <f>"CSP FILIERIS DE COURRIÈRES"</f>
        <v>CSP FILIERIS DE COURRIÈRES</v>
      </c>
      <c r="F2224" t="str">
        <f>"21 RUE EMILE BASLY"</f>
        <v>21 RUE EMILE BASLY</v>
      </c>
      <c r="H2224" t="str">
        <f>"62710"</f>
        <v>62710</v>
      </c>
      <c r="I2224" t="str">
        <f>"COURRIERES"</f>
        <v>COURRIERES</v>
      </c>
      <c r="J2224" t="str">
        <f>"03 21 20 32 44 "</f>
        <v xml:space="preserve">03 21 20 32 44 </v>
      </c>
      <c r="L2224" s="1">
        <v>38539</v>
      </c>
      <c r="M2224" t="str">
        <f t="shared" si="343"/>
        <v>124</v>
      </c>
      <c r="N2224" t="str">
        <f t="shared" si="344"/>
        <v>Centre de Santé</v>
      </c>
      <c r="O2224" t="str">
        <f t="shared" si="352"/>
        <v>41</v>
      </c>
      <c r="P2224" t="str">
        <f t="shared" si="353"/>
        <v>Régime Spécial de Sécurité Sociale</v>
      </c>
      <c r="Q2224" t="str">
        <f t="shared" si="349"/>
        <v>36</v>
      </c>
      <c r="R2224" t="str">
        <f t="shared" si="350"/>
        <v>Tarifs conventionnels assurance maladie</v>
      </c>
      <c r="U2224" t="str">
        <f t="shared" si="354"/>
        <v>750050759</v>
      </c>
    </row>
    <row r="2225" spans="1:21" x14ac:dyDescent="0.3">
      <c r="A2225" t="str">
        <f>"620114389"</f>
        <v>620114389</v>
      </c>
      <c r="B2225" t="str">
        <f>"775 685 316 02013"</f>
        <v>775 685 316 02013</v>
      </c>
      <c r="D2225" t="str">
        <f>"CSP FILIERIS DE HARNES"</f>
        <v>CSP FILIERIS DE HARNES</v>
      </c>
      <c r="F2225" t="str">
        <f>"116 RUE CHARLES DEBARGE"</f>
        <v>116 RUE CHARLES DEBARGE</v>
      </c>
      <c r="H2225" t="str">
        <f>"62440"</f>
        <v>62440</v>
      </c>
      <c r="I2225" t="str">
        <f>"HARNES"</f>
        <v>HARNES</v>
      </c>
      <c r="J2225" t="str">
        <f>"03 21 20 34 92 "</f>
        <v xml:space="preserve">03 21 20 34 92 </v>
      </c>
      <c r="L2225" s="1">
        <v>38539</v>
      </c>
      <c r="M2225" t="str">
        <f t="shared" si="343"/>
        <v>124</v>
      </c>
      <c r="N2225" t="str">
        <f t="shared" si="344"/>
        <v>Centre de Santé</v>
      </c>
      <c r="O2225" t="str">
        <f t="shared" si="352"/>
        <v>41</v>
      </c>
      <c r="P2225" t="str">
        <f t="shared" si="353"/>
        <v>Régime Spécial de Sécurité Sociale</v>
      </c>
      <c r="Q2225" t="str">
        <f t="shared" si="349"/>
        <v>36</v>
      </c>
      <c r="R2225" t="str">
        <f t="shared" si="350"/>
        <v>Tarifs conventionnels assurance maladie</v>
      </c>
      <c r="U2225" t="str">
        <f t="shared" si="354"/>
        <v>750050759</v>
      </c>
    </row>
    <row r="2226" spans="1:21" x14ac:dyDescent="0.3">
      <c r="A2226" t="str">
        <f>"620114751"</f>
        <v>620114751</v>
      </c>
      <c r="B2226" t="str">
        <f>"775 685 316 01353"</f>
        <v>775 685 316 01353</v>
      </c>
      <c r="D2226" t="str">
        <f>"CSP FILIERIS DE LIBERCOURT"</f>
        <v>CSP FILIERIS DE LIBERCOURT</v>
      </c>
      <c r="F2226" t="str">
        <f>"5 BOULEVARD DARCHICOURT"</f>
        <v>5 BOULEVARD DARCHICOURT</v>
      </c>
      <c r="H2226" t="str">
        <f>"62820"</f>
        <v>62820</v>
      </c>
      <c r="I2226" t="str">
        <f>"LIBERCOURT"</f>
        <v>LIBERCOURT</v>
      </c>
      <c r="J2226" t="str">
        <f>"03 21 37 10 62 "</f>
        <v xml:space="preserve">03 21 37 10 62 </v>
      </c>
      <c r="L2226" s="1">
        <v>38539</v>
      </c>
      <c r="M2226" t="str">
        <f t="shared" si="343"/>
        <v>124</v>
      </c>
      <c r="N2226" t="str">
        <f t="shared" si="344"/>
        <v>Centre de Santé</v>
      </c>
      <c r="O2226" t="str">
        <f t="shared" si="352"/>
        <v>41</v>
      </c>
      <c r="P2226" t="str">
        <f t="shared" si="353"/>
        <v>Régime Spécial de Sécurité Sociale</v>
      </c>
      <c r="Q2226" t="str">
        <f t="shared" si="349"/>
        <v>36</v>
      </c>
      <c r="R2226" t="str">
        <f t="shared" si="350"/>
        <v>Tarifs conventionnels assurance maladie</v>
      </c>
      <c r="U2226" t="str">
        <f t="shared" si="354"/>
        <v>750050759</v>
      </c>
    </row>
    <row r="2227" spans="1:21" x14ac:dyDescent="0.3">
      <c r="A2227" t="str">
        <f>"620116145"</f>
        <v>620116145</v>
      </c>
      <c r="B2227" t="str">
        <f>"775 685 316 01502"</f>
        <v>775 685 316 01502</v>
      </c>
      <c r="D2227" t="str">
        <f>"CSP FILIERIS DE MEURCHIN"</f>
        <v>CSP FILIERIS DE MEURCHIN</v>
      </c>
      <c r="F2227" t="str">
        <f>"41 RUE JULES GUESDE"</f>
        <v>41 RUE JULES GUESDE</v>
      </c>
      <c r="H2227" t="str">
        <f>"62410"</f>
        <v>62410</v>
      </c>
      <c r="I2227" t="str">
        <f>"MEURCHIN"</f>
        <v>MEURCHIN</v>
      </c>
      <c r="J2227" t="str">
        <f>"03 21 74 04 69 "</f>
        <v xml:space="preserve">03 21 74 04 69 </v>
      </c>
      <c r="L2227" s="1">
        <v>38539</v>
      </c>
      <c r="M2227" t="str">
        <f t="shared" si="343"/>
        <v>124</v>
      </c>
      <c r="N2227" t="str">
        <f t="shared" si="344"/>
        <v>Centre de Santé</v>
      </c>
      <c r="O2227" t="str">
        <f t="shared" si="352"/>
        <v>41</v>
      </c>
      <c r="P2227" t="str">
        <f t="shared" si="353"/>
        <v>Régime Spécial de Sécurité Sociale</v>
      </c>
      <c r="Q2227" t="str">
        <f t="shared" si="349"/>
        <v>36</v>
      </c>
      <c r="R2227" t="str">
        <f t="shared" si="350"/>
        <v>Tarifs conventionnels assurance maladie</v>
      </c>
      <c r="U2227" t="str">
        <f t="shared" si="354"/>
        <v>750050759</v>
      </c>
    </row>
    <row r="2228" spans="1:21" x14ac:dyDescent="0.3">
      <c r="A2228" t="str">
        <f>"620116236"</f>
        <v>620116236</v>
      </c>
      <c r="B2228" t="str">
        <f>"775 685 316 01825"</f>
        <v>775 685 316 01825</v>
      </c>
      <c r="D2228" t="str">
        <f>"CSP FILIERIS DE HULLUCH"</f>
        <v>CSP FILIERIS DE HULLUCH</v>
      </c>
      <c r="F2228" t="str">
        <f>"13 RUE DU GÉNÉRAL LECLERC"</f>
        <v>13 RUE DU GÉNÉRAL LECLERC</v>
      </c>
      <c r="H2228" t="str">
        <f>"62410"</f>
        <v>62410</v>
      </c>
      <c r="I2228" t="str">
        <f>"HULLUCH"</f>
        <v>HULLUCH</v>
      </c>
      <c r="J2228" t="str">
        <f>"03 74 85 57 88 "</f>
        <v xml:space="preserve">03 74 85 57 88 </v>
      </c>
      <c r="L2228" s="1">
        <v>38539</v>
      </c>
      <c r="M2228" t="str">
        <f t="shared" si="343"/>
        <v>124</v>
      </c>
      <c r="N2228" t="str">
        <f t="shared" si="344"/>
        <v>Centre de Santé</v>
      </c>
      <c r="O2228" t="str">
        <f t="shared" si="352"/>
        <v>41</v>
      </c>
      <c r="P2228" t="str">
        <f t="shared" si="353"/>
        <v>Régime Spécial de Sécurité Sociale</v>
      </c>
      <c r="Q2228" t="str">
        <f t="shared" si="349"/>
        <v>36</v>
      </c>
      <c r="R2228" t="str">
        <f t="shared" si="350"/>
        <v>Tarifs conventionnels assurance maladie</v>
      </c>
      <c r="U2228" t="str">
        <f t="shared" si="354"/>
        <v>750050759</v>
      </c>
    </row>
    <row r="2229" spans="1:21" x14ac:dyDescent="0.3">
      <c r="A2229" t="str">
        <f>"620119412"</f>
        <v>620119412</v>
      </c>
      <c r="B2229" t="str">
        <f>"775 685 316 01635"</f>
        <v>775 685 316 01635</v>
      </c>
      <c r="D2229" t="str">
        <f>"CSP FILIERIS DE LENS"</f>
        <v>CSP FILIERIS DE LENS</v>
      </c>
      <c r="F2229" t="str">
        <f>"58 RUE DE LA GARE"</f>
        <v>58 RUE DE LA GARE</v>
      </c>
      <c r="H2229" t="str">
        <f>"62300"</f>
        <v>62300</v>
      </c>
      <c r="I2229" t="str">
        <f>"LENS"</f>
        <v>LENS</v>
      </c>
      <c r="J2229" t="str">
        <f>"03 21 70 60 14 "</f>
        <v xml:space="preserve">03 21 70 60 14 </v>
      </c>
      <c r="L2229" s="1">
        <v>38539</v>
      </c>
      <c r="M2229" t="str">
        <f t="shared" si="343"/>
        <v>124</v>
      </c>
      <c r="N2229" t="str">
        <f t="shared" si="344"/>
        <v>Centre de Santé</v>
      </c>
      <c r="O2229" t="str">
        <f t="shared" si="352"/>
        <v>41</v>
      </c>
      <c r="P2229" t="str">
        <f t="shared" si="353"/>
        <v>Régime Spécial de Sécurité Sociale</v>
      </c>
      <c r="Q2229" t="str">
        <f t="shared" si="349"/>
        <v>36</v>
      </c>
      <c r="R2229" t="str">
        <f t="shared" si="350"/>
        <v>Tarifs conventionnels assurance maladie</v>
      </c>
      <c r="U2229" t="str">
        <f t="shared" si="354"/>
        <v>750050759</v>
      </c>
    </row>
    <row r="2230" spans="1:21" x14ac:dyDescent="0.3">
      <c r="A2230" t="str">
        <f>"760781294"</f>
        <v>760781294</v>
      </c>
      <c r="B2230" t="str">
        <f>"484 459 441 00016"</f>
        <v>484 459 441 00016</v>
      </c>
      <c r="D2230" t="str">
        <f>"CTRE SANTE INFIRMIER ADMR"</f>
        <v>CTRE SANTE INFIRMIER ADMR</v>
      </c>
      <c r="F2230" t="str">
        <f>"1 RUE GABRIEL JAMET"</f>
        <v>1 RUE GABRIEL JAMET</v>
      </c>
      <c r="H2230" t="str">
        <f>"76800"</f>
        <v>76800</v>
      </c>
      <c r="I2230" t="str">
        <f>"ST ETIENNE DU ROUVRAY"</f>
        <v>ST ETIENNE DU ROUVRAY</v>
      </c>
      <c r="J2230" t="str">
        <f>"02 35 65 11 06 "</f>
        <v xml:space="preserve">02 35 65 11 06 </v>
      </c>
      <c r="K2230" t="str">
        <f>"02 35 65 11 00"</f>
        <v>02 35 65 11 00</v>
      </c>
      <c r="L2230" s="1">
        <v>38534</v>
      </c>
      <c r="M2230" t="str">
        <f t="shared" si="343"/>
        <v>124</v>
      </c>
      <c r="N2230" t="str">
        <f t="shared" si="344"/>
        <v>Centre de Santé</v>
      </c>
      <c r="O2230" t="str">
        <f>"60"</f>
        <v>60</v>
      </c>
      <c r="P2230" t="str">
        <f>"Association Loi 1901 non Reconnue d'Utilité Publique"</f>
        <v>Association Loi 1901 non Reconnue d'Utilité Publique</v>
      </c>
      <c r="Q2230" t="str">
        <f t="shared" si="349"/>
        <v>36</v>
      </c>
      <c r="R2230" t="str">
        <f t="shared" si="350"/>
        <v>Tarifs conventionnels assurance maladie</v>
      </c>
      <c r="U2230" t="str">
        <f>"760031237"</f>
        <v>760031237</v>
      </c>
    </row>
    <row r="2231" spans="1:21" x14ac:dyDescent="0.3">
      <c r="A2231" t="str">
        <f>"060007648"</f>
        <v>060007648</v>
      </c>
      <c r="D2231" t="str">
        <f>"CDS DENTAIRE SELINONTE"</f>
        <v>CDS DENTAIRE SELINONTE</v>
      </c>
      <c r="F2231" t="str">
        <f>"14 AVENUE ROBERT SOLEAU"</f>
        <v>14 AVENUE ROBERT SOLEAU</v>
      </c>
      <c r="H2231" t="str">
        <f>"06600"</f>
        <v>06600</v>
      </c>
      <c r="I2231" t="str">
        <f>"ANTIBES"</f>
        <v>ANTIBES</v>
      </c>
      <c r="J2231" t="str">
        <f>"04 93 34 92 05 "</f>
        <v xml:space="preserve">04 93 34 92 05 </v>
      </c>
      <c r="L2231" s="1">
        <v>38533</v>
      </c>
      <c r="M2231" t="str">
        <f t="shared" si="343"/>
        <v>124</v>
      </c>
      <c r="N2231" t="str">
        <f t="shared" si="344"/>
        <v>Centre de Santé</v>
      </c>
      <c r="O2231" t="str">
        <f>"47"</f>
        <v>47</v>
      </c>
      <c r="P2231" t="str">
        <f>"Société Mutualiste"</f>
        <v>Société Mutualiste</v>
      </c>
      <c r="Q2231" t="str">
        <f t="shared" si="349"/>
        <v>36</v>
      </c>
      <c r="R2231" t="str">
        <f t="shared" si="350"/>
        <v>Tarifs conventionnels assurance maladie</v>
      </c>
      <c r="U2231" t="str">
        <f>"130007032"</f>
        <v>130007032</v>
      </c>
    </row>
    <row r="2232" spans="1:21" x14ac:dyDescent="0.3">
      <c r="A2232" t="str">
        <f>"590804043"</f>
        <v>590804043</v>
      </c>
      <c r="B2232" t="str">
        <f>"775 685 316 03045"</f>
        <v>775 685 316 03045</v>
      </c>
      <c r="D2232" t="str">
        <f>"CSP FILIERIS DE VIEUX CONDÉ"</f>
        <v>CSP FILIERIS DE VIEUX CONDÉ</v>
      </c>
      <c r="F2232" t="str">
        <f>"179 RUE D'ANJOU"</f>
        <v>179 RUE D'ANJOU</v>
      </c>
      <c r="H2232" t="str">
        <f>"59690"</f>
        <v>59690</v>
      </c>
      <c r="I2232" t="str">
        <f>"VIEUX CONDE"</f>
        <v>VIEUX CONDE</v>
      </c>
      <c r="J2232" t="str">
        <f>"03 27 25 12 03 "</f>
        <v xml:space="preserve">03 27 25 12 03 </v>
      </c>
      <c r="L2232" s="1">
        <v>38524</v>
      </c>
      <c r="M2232" t="str">
        <f t="shared" si="343"/>
        <v>124</v>
      </c>
      <c r="N2232" t="str">
        <f t="shared" si="344"/>
        <v>Centre de Santé</v>
      </c>
      <c r="O2232" t="str">
        <f>"41"</f>
        <v>41</v>
      </c>
      <c r="P2232" t="str">
        <f>"Régime Spécial de Sécurité Sociale"</f>
        <v>Régime Spécial de Sécurité Sociale</v>
      </c>
      <c r="Q2232" t="str">
        <f t="shared" si="349"/>
        <v>36</v>
      </c>
      <c r="R2232" t="str">
        <f t="shared" si="350"/>
        <v>Tarifs conventionnels assurance maladie</v>
      </c>
      <c r="U2232" t="str">
        <f>"750050759"</f>
        <v>750050759</v>
      </c>
    </row>
    <row r="2233" spans="1:21" x14ac:dyDescent="0.3">
      <c r="A2233" t="str">
        <f>"590031688"</f>
        <v>590031688</v>
      </c>
      <c r="D2233" t="str">
        <f>"CENTRE DE SANTÉ POLYVALENT DE LILLE"</f>
        <v>CENTRE DE SANTÉ POLYVALENT DE LILLE</v>
      </c>
      <c r="F2233" t="str">
        <f>"228 RUE SOLFERINO"</f>
        <v>228 RUE SOLFERINO</v>
      </c>
      <c r="H2233" t="str">
        <f>"59000"</f>
        <v>59000</v>
      </c>
      <c r="I2233" t="str">
        <f>"LILLE"</f>
        <v>LILLE</v>
      </c>
      <c r="J2233" t="str">
        <f>"03 28 55 31 75 "</f>
        <v xml:space="preserve">03 28 55 31 75 </v>
      </c>
      <c r="K2233" t="str">
        <f>"03 28 36 50 39"</f>
        <v>03 28 36 50 39</v>
      </c>
      <c r="L2233" s="1">
        <v>38512</v>
      </c>
      <c r="M2233" t="str">
        <f t="shared" si="343"/>
        <v>124</v>
      </c>
      <c r="N2233" t="str">
        <f t="shared" si="344"/>
        <v>Centre de Santé</v>
      </c>
      <c r="O2233" t="str">
        <f>"60"</f>
        <v>60</v>
      </c>
      <c r="P2233" t="str">
        <f>"Association Loi 1901 non Reconnue d'Utilité Publique"</f>
        <v>Association Loi 1901 non Reconnue d'Utilité Publique</v>
      </c>
      <c r="Q2233" t="str">
        <f t="shared" si="349"/>
        <v>36</v>
      </c>
      <c r="R2233" t="str">
        <f t="shared" si="350"/>
        <v>Tarifs conventionnels assurance maladie</v>
      </c>
      <c r="U2233" t="str">
        <f>"590034773"</f>
        <v>590034773</v>
      </c>
    </row>
    <row r="2234" spans="1:21" x14ac:dyDescent="0.3">
      <c r="A2234" t="str">
        <f>"590803680"</f>
        <v>590803680</v>
      </c>
      <c r="B2234" t="str">
        <f>"775 685 316 02534"</f>
        <v>775 685 316 02534</v>
      </c>
      <c r="D2234" t="str">
        <f>"CSP FILIERIS D'AUBY"</f>
        <v>CSP FILIERIS D'AUBY</v>
      </c>
      <c r="F2234" t="str">
        <f>"105 RUE FRANCISCO FERRER"</f>
        <v>105 RUE FRANCISCO FERRER</v>
      </c>
      <c r="H2234" t="str">
        <f>"59950"</f>
        <v>59950</v>
      </c>
      <c r="I2234" t="str">
        <f>"AUBY"</f>
        <v>AUBY</v>
      </c>
      <c r="J2234" t="str">
        <f>"03 27 90 82 03 "</f>
        <v xml:space="preserve">03 27 90 82 03 </v>
      </c>
      <c r="L2234" s="1">
        <v>38512</v>
      </c>
      <c r="M2234" t="str">
        <f t="shared" si="343"/>
        <v>124</v>
      </c>
      <c r="N2234" t="str">
        <f t="shared" si="344"/>
        <v>Centre de Santé</v>
      </c>
      <c r="O2234" t="str">
        <f t="shared" ref="O2234:O2243" si="355">"41"</f>
        <v>41</v>
      </c>
      <c r="P2234" t="str">
        <f t="shared" ref="P2234:P2243" si="356">"Régime Spécial de Sécurité Sociale"</f>
        <v>Régime Spécial de Sécurité Sociale</v>
      </c>
      <c r="Q2234" t="str">
        <f t="shared" si="349"/>
        <v>36</v>
      </c>
      <c r="R2234" t="str">
        <f t="shared" si="350"/>
        <v>Tarifs conventionnels assurance maladie</v>
      </c>
      <c r="U2234" t="str">
        <f t="shared" ref="U2234:U2243" si="357">"750050759"</f>
        <v>750050759</v>
      </c>
    </row>
    <row r="2235" spans="1:21" x14ac:dyDescent="0.3">
      <c r="A2235" t="str">
        <f>"620114009"</f>
        <v>620114009</v>
      </c>
      <c r="B2235" t="str">
        <f>"775 685 316 02328"</f>
        <v>775 685 316 02328</v>
      </c>
      <c r="D2235" t="str">
        <f>"CSP FILIERIS DE CALONNE RICOUART"</f>
        <v>CSP FILIERIS DE CALONNE RICOUART</v>
      </c>
      <c r="F2235" t="str">
        <f>"RUE D'ALSACE LORRAINE"</f>
        <v>RUE D'ALSACE LORRAINE</v>
      </c>
      <c r="H2235" t="str">
        <f>"62470"</f>
        <v>62470</v>
      </c>
      <c r="I2235" t="str">
        <f>"CALONNE RICOUART"</f>
        <v>CALONNE RICOUART</v>
      </c>
      <c r="J2235" t="str">
        <f>"03 21 52 57 56 "</f>
        <v xml:space="preserve">03 21 52 57 56 </v>
      </c>
      <c r="L2235" s="1">
        <v>38512</v>
      </c>
      <c r="M2235" t="str">
        <f t="shared" si="343"/>
        <v>124</v>
      </c>
      <c r="N2235" t="str">
        <f t="shared" si="344"/>
        <v>Centre de Santé</v>
      </c>
      <c r="O2235" t="str">
        <f t="shared" si="355"/>
        <v>41</v>
      </c>
      <c r="P2235" t="str">
        <f t="shared" si="356"/>
        <v>Régime Spécial de Sécurité Sociale</v>
      </c>
      <c r="Q2235" t="str">
        <f t="shared" si="349"/>
        <v>36</v>
      </c>
      <c r="R2235" t="str">
        <f t="shared" si="350"/>
        <v>Tarifs conventionnels assurance maladie</v>
      </c>
      <c r="U2235" t="str">
        <f t="shared" si="357"/>
        <v>750050759</v>
      </c>
    </row>
    <row r="2236" spans="1:21" x14ac:dyDescent="0.3">
      <c r="A2236" t="str">
        <f>"620114777"</f>
        <v>620114777</v>
      </c>
      <c r="B2236" t="str">
        <f>"775 685 316 01726"</f>
        <v>775 685 316 01726</v>
      </c>
      <c r="D2236" t="str">
        <f>"CSP FILIERIS DE OIGNIES"</f>
        <v>CSP FILIERIS DE OIGNIES</v>
      </c>
      <c r="F2236" t="str">
        <f>"PLACE DECLERCQ FOSSE 9"</f>
        <v>PLACE DECLERCQ FOSSE 9</v>
      </c>
      <c r="H2236" t="str">
        <f>"62590"</f>
        <v>62590</v>
      </c>
      <c r="I2236" t="str">
        <f>"OIGNIES"</f>
        <v>OIGNIES</v>
      </c>
      <c r="J2236" t="str">
        <f>"03 21 37 11 49 "</f>
        <v xml:space="preserve">03 21 37 11 49 </v>
      </c>
      <c r="L2236" s="1">
        <v>38512</v>
      </c>
      <c r="M2236" t="str">
        <f t="shared" si="343"/>
        <v>124</v>
      </c>
      <c r="N2236" t="str">
        <f t="shared" si="344"/>
        <v>Centre de Santé</v>
      </c>
      <c r="O2236" t="str">
        <f t="shared" si="355"/>
        <v>41</v>
      </c>
      <c r="P2236" t="str">
        <f t="shared" si="356"/>
        <v>Régime Spécial de Sécurité Sociale</v>
      </c>
      <c r="Q2236" t="str">
        <f t="shared" si="349"/>
        <v>36</v>
      </c>
      <c r="R2236" t="str">
        <f t="shared" si="350"/>
        <v>Tarifs conventionnels assurance maladie</v>
      </c>
      <c r="U2236" t="str">
        <f t="shared" si="357"/>
        <v>750050759</v>
      </c>
    </row>
    <row r="2237" spans="1:21" x14ac:dyDescent="0.3">
      <c r="A2237" t="str">
        <f>"300007838"</f>
        <v>300007838</v>
      </c>
      <c r="B2237" t="str">
        <f>"775 685 316 00447"</f>
        <v>775 685 316 00447</v>
      </c>
      <c r="D2237" t="str">
        <f>"CSP FILIERIS D'ALES"</f>
        <v>CSP FILIERIS D'ALES</v>
      </c>
      <c r="F2237" t="str">
        <f>"14 RUE SOUBEYRANNE"</f>
        <v>14 RUE SOUBEYRANNE</v>
      </c>
      <c r="H2237" t="str">
        <f>"30100"</f>
        <v>30100</v>
      </c>
      <c r="I2237" t="str">
        <f>"ALES"</f>
        <v>ALES</v>
      </c>
      <c r="J2237" t="str">
        <f>"04 66 56 24 90 "</f>
        <v xml:space="preserve">04 66 56 24 90 </v>
      </c>
      <c r="L2237" s="1">
        <v>38504</v>
      </c>
      <c r="M2237" t="str">
        <f t="shared" si="343"/>
        <v>124</v>
      </c>
      <c r="N2237" t="str">
        <f t="shared" si="344"/>
        <v>Centre de Santé</v>
      </c>
      <c r="O2237" t="str">
        <f t="shared" si="355"/>
        <v>41</v>
      </c>
      <c r="P2237" t="str">
        <f t="shared" si="356"/>
        <v>Régime Spécial de Sécurité Sociale</v>
      </c>
      <c r="Q2237" t="str">
        <f t="shared" si="349"/>
        <v>36</v>
      </c>
      <c r="R2237" t="str">
        <f t="shared" si="350"/>
        <v>Tarifs conventionnels assurance maladie</v>
      </c>
      <c r="U2237" t="str">
        <f t="shared" si="357"/>
        <v>750050759</v>
      </c>
    </row>
    <row r="2238" spans="1:21" x14ac:dyDescent="0.3">
      <c r="A2238" t="str">
        <f>"300007879"</f>
        <v>300007879</v>
      </c>
      <c r="B2238" t="str">
        <f>"775 685 316 00462"</f>
        <v>775 685 316 00462</v>
      </c>
      <c r="D2238" t="str">
        <f>"CSP FILIERIS DE LA GRAND COMBE"</f>
        <v>CSP FILIERIS DE LA GRAND COMBE</v>
      </c>
      <c r="F2238" t="str">
        <f>"4 RUE ABBE MASSON"</f>
        <v>4 RUE ABBE MASSON</v>
      </c>
      <c r="H2238" t="str">
        <f>"30110"</f>
        <v>30110</v>
      </c>
      <c r="I2238" t="str">
        <f>"LA GRAND COMBE"</f>
        <v>LA GRAND COMBE</v>
      </c>
      <c r="J2238" t="str">
        <f>"04 66 34 02 40 "</f>
        <v xml:space="preserve">04 66 34 02 40 </v>
      </c>
      <c r="K2238" t="str">
        <f>"04 66 54 88 04"</f>
        <v>04 66 54 88 04</v>
      </c>
      <c r="L2238" s="1">
        <v>38504</v>
      </c>
      <c r="M2238" t="str">
        <f t="shared" si="343"/>
        <v>124</v>
      </c>
      <c r="N2238" t="str">
        <f t="shared" si="344"/>
        <v>Centre de Santé</v>
      </c>
      <c r="O2238" t="str">
        <f t="shared" si="355"/>
        <v>41</v>
      </c>
      <c r="P2238" t="str">
        <f t="shared" si="356"/>
        <v>Régime Spécial de Sécurité Sociale</v>
      </c>
      <c r="Q2238" t="str">
        <f t="shared" si="349"/>
        <v>36</v>
      </c>
      <c r="R2238" t="str">
        <f t="shared" si="350"/>
        <v>Tarifs conventionnels assurance maladie</v>
      </c>
      <c r="U2238" t="str">
        <f t="shared" si="357"/>
        <v>750050759</v>
      </c>
    </row>
    <row r="2239" spans="1:21" x14ac:dyDescent="0.3">
      <c r="A2239" t="str">
        <f>"300007929"</f>
        <v>300007929</v>
      </c>
      <c r="B2239" t="str">
        <f>"775 685 316 00462"</f>
        <v>775 685 316 00462</v>
      </c>
      <c r="D2239" t="str">
        <f>"CSP FILIERIS DE ST MARTIN"</f>
        <v>CSP FILIERIS DE ST MARTIN</v>
      </c>
      <c r="F2239" t="str">
        <f>"472 AVENUE MARCEL PAUL"</f>
        <v>472 AVENUE MARCEL PAUL</v>
      </c>
      <c r="H2239" t="str">
        <f>"30520"</f>
        <v>30520</v>
      </c>
      <c r="I2239" t="str">
        <f>"ST MARTIN DE VALGALGUES"</f>
        <v>ST MARTIN DE VALGALGUES</v>
      </c>
      <c r="J2239" t="str">
        <f>"04 66 30 12 11 "</f>
        <v xml:space="preserve">04 66 30 12 11 </v>
      </c>
      <c r="K2239" t="str">
        <f>"04 66 56 73 02"</f>
        <v>04 66 56 73 02</v>
      </c>
      <c r="L2239" s="1">
        <v>38504</v>
      </c>
      <c r="M2239" t="str">
        <f t="shared" si="343"/>
        <v>124</v>
      </c>
      <c r="N2239" t="str">
        <f t="shared" si="344"/>
        <v>Centre de Santé</v>
      </c>
      <c r="O2239" t="str">
        <f t="shared" si="355"/>
        <v>41</v>
      </c>
      <c r="P2239" t="str">
        <f t="shared" si="356"/>
        <v>Régime Spécial de Sécurité Sociale</v>
      </c>
      <c r="Q2239" t="str">
        <f t="shared" si="349"/>
        <v>36</v>
      </c>
      <c r="R2239" t="str">
        <f t="shared" si="350"/>
        <v>Tarifs conventionnels assurance maladie</v>
      </c>
      <c r="U2239" t="str">
        <f t="shared" si="357"/>
        <v>750050759</v>
      </c>
    </row>
    <row r="2240" spans="1:21" x14ac:dyDescent="0.3">
      <c r="A2240" t="str">
        <f>"300008018"</f>
        <v>300008018</v>
      </c>
      <c r="B2240" t="str">
        <f>"775 685 316 00439"</f>
        <v>775 685 316 00439</v>
      </c>
      <c r="D2240" t="str">
        <f>"CSP FILIERIS DE ST FLORENT"</f>
        <v>CSP FILIERIS DE ST FLORENT</v>
      </c>
      <c r="F2240" t="str">
        <f>"LA CANTONNADE"</f>
        <v>LA CANTONNADE</v>
      </c>
      <c r="H2240" t="str">
        <f>"30960"</f>
        <v>30960</v>
      </c>
      <c r="I2240" t="str">
        <f>"ST FLORENT SUR AUZONNET"</f>
        <v>ST FLORENT SUR AUZONNET</v>
      </c>
      <c r="J2240" t="str">
        <f>"04 66 25 61 82 "</f>
        <v xml:space="preserve">04 66 25 61 82 </v>
      </c>
      <c r="K2240" t="str">
        <f>"04 66 25 41 31"</f>
        <v>04 66 25 41 31</v>
      </c>
      <c r="L2240" s="1">
        <v>38504</v>
      </c>
      <c r="M2240" t="str">
        <f t="shared" si="343"/>
        <v>124</v>
      </c>
      <c r="N2240" t="str">
        <f t="shared" si="344"/>
        <v>Centre de Santé</v>
      </c>
      <c r="O2240" t="str">
        <f t="shared" si="355"/>
        <v>41</v>
      </c>
      <c r="P2240" t="str">
        <f t="shared" si="356"/>
        <v>Régime Spécial de Sécurité Sociale</v>
      </c>
      <c r="Q2240" t="str">
        <f t="shared" si="349"/>
        <v>36</v>
      </c>
      <c r="R2240" t="str">
        <f t="shared" si="350"/>
        <v>Tarifs conventionnels assurance maladie</v>
      </c>
      <c r="U2240" t="str">
        <f t="shared" si="357"/>
        <v>750050759</v>
      </c>
    </row>
    <row r="2241" spans="1:21" x14ac:dyDescent="0.3">
      <c r="A2241" t="str">
        <f>"300008059"</f>
        <v>300008059</v>
      </c>
      <c r="D2241" t="str">
        <f>"CSP FILIERIS DE BESSEGES"</f>
        <v>CSP FILIERIS DE BESSEGES</v>
      </c>
      <c r="E2241" t="str">
        <f>"MAISON DE SANTE VAL DE CEZE"</f>
        <v>MAISON DE SANTE VAL DE CEZE</v>
      </c>
      <c r="F2241" t="str">
        <f>"21 RUE ALFRED SILHOL"</f>
        <v>21 RUE ALFRED SILHOL</v>
      </c>
      <c r="H2241" t="str">
        <f>"30160"</f>
        <v>30160</v>
      </c>
      <c r="I2241" t="str">
        <f>"BESSEGES"</f>
        <v>BESSEGES</v>
      </c>
      <c r="J2241" t="str">
        <f>"04 66 25 00 02 "</f>
        <v xml:space="preserve">04 66 25 00 02 </v>
      </c>
      <c r="K2241" t="str">
        <f>"04 66 25 11 96"</f>
        <v>04 66 25 11 96</v>
      </c>
      <c r="L2241" s="1">
        <v>38504</v>
      </c>
      <c r="M2241" t="str">
        <f t="shared" si="343"/>
        <v>124</v>
      </c>
      <c r="N2241" t="str">
        <f t="shared" si="344"/>
        <v>Centre de Santé</v>
      </c>
      <c r="O2241" t="str">
        <f t="shared" si="355"/>
        <v>41</v>
      </c>
      <c r="P2241" t="str">
        <f t="shared" si="356"/>
        <v>Régime Spécial de Sécurité Sociale</v>
      </c>
      <c r="Q2241" t="str">
        <f t="shared" si="349"/>
        <v>36</v>
      </c>
      <c r="R2241" t="str">
        <f t="shared" si="350"/>
        <v>Tarifs conventionnels assurance maladie</v>
      </c>
      <c r="U2241" t="str">
        <f t="shared" si="357"/>
        <v>750050759</v>
      </c>
    </row>
    <row r="2242" spans="1:21" x14ac:dyDescent="0.3">
      <c r="A2242" t="str">
        <f>"300008158"</f>
        <v>300008158</v>
      </c>
      <c r="B2242" t="str">
        <f>"775 685 316 00462"</f>
        <v>775 685 316 00462</v>
      </c>
      <c r="D2242" t="str">
        <f>"CSP FILIERIS DE ST AMBROIX"</f>
        <v>CSP FILIERIS DE ST AMBROIX</v>
      </c>
      <c r="F2242" t="str">
        <f>"36 PLACE DE L'ESPLANADE"</f>
        <v>36 PLACE DE L'ESPLANADE</v>
      </c>
      <c r="H2242" t="str">
        <f>"30500"</f>
        <v>30500</v>
      </c>
      <c r="I2242" t="str">
        <f>"ST AMBROIX"</f>
        <v>ST AMBROIX</v>
      </c>
      <c r="J2242" t="str">
        <f>"04 66 24 01 88 "</f>
        <v xml:space="preserve">04 66 24 01 88 </v>
      </c>
      <c r="K2242" t="str">
        <f>"04 66 83 00 76"</f>
        <v>04 66 83 00 76</v>
      </c>
      <c r="L2242" s="1">
        <v>38504</v>
      </c>
      <c r="M2242" t="str">
        <f t="shared" ref="M2242:M2305" si="358">"124"</f>
        <v>124</v>
      </c>
      <c r="N2242" t="str">
        <f t="shared" ref="N2242:N2305" si="359">"Centre de Santé"</f>
        <v>Centre de Santé</v>
      </c>
      <c r="O2242" t="str">
        <f t="shared" si="355"/>
        <v>41</v>
      </c>
      <c r="P2242" t="str">
        <f t="shared" si="356"/>
        <v>Régime Spécial de Sécurité Sociale</v>
      </c>
      <c r="Q2242" t="str">
        <f t="shared" si="349"/>
        <v>36</v>
      </c>
      <c r="R2242" t="str">
        <f t="shared" si="350"/>
        <v>Tarifs conventionnels assurance maladie</v>
      </c>
      <c r="U2242" t="str">
        <f t="shared" si="357"/>
        <v>750050759</v>
      </c>
    </row>
    <row r="2243" spans="1:21" x14ac:dyDescent="0.3">
      <c r="A2243" t="str">
        <f>"590804076"</f>
        <v>590804076</v>
      </c>
      <c r="B2243" t="str">
        <f>"775 685 316 02674"</f>
        <v>775 685 316 02674</v>
      </c>
      <c r="D2243" t="str">
        <f>"CSP FILIERIS  DE WALLERS"</f>
        <v>CSP FILIERIS  DE WALLERS</v>
      </c>
      <c r="F2243" t="str">
        <f>"1 RUE DU DISPENSAIRE"</f>
        <v>1 RUE DU DISPENSAIRE</v>
      </c>
      <c r="H2243" t="str">
        <f>"59135"</f>
        <v>59135</v>
      </c>
      <c r="I2243" t="str">
        <f>"WALLERS"</f>
        <v>WALLERS</v>
      </c>
      <c r="J2243" t="str">
        <f>"03 21 08 69 70 "</f>
        <v xml:space="preserve">03 21 08 69 70 </v>
      </c>
      <c r="L2243" s="1">
        <v>38499</v>
      </c>
      <c r="M2243" t="str">
        <f t="shared" si="358"/>
        <v>124</v>
      </c>
      <c r="N2243" t="str">
        <f t="shared" si="359"/>
        <v>Centre de Santé</v>
      </c>
      <c r="O2243" t="str">
        <f t="shared" si="355"/>
        <v>41</v>
      </c>
      <c r="P2243" t="str">
        <f t="shared" si="356"/>
        <v>Régime Spécial de Sécurité Sociale</v>
      </c>
      <c r="Q2243" t="str">
        <f t="shared" si="349"/>
        <v>36</v>
      </c>
      <c r="R2243" t="str">
        <f t="shared" si="350"/>
        <v>Tarifs conventionnels assurance maladie</v>
      </c>
      <c r="U2243" t="str">
        <f t="shared" si="357"/>
        <v>750050759</v>
      </c>
    </row>
    <row r="2244" spans="1:21" x14ac:dyDescent="0.3">
      <c r="A2244" t="str">
        <f>"2B0003578"</f>
        <v>2B0003578</v>
      </c>
      <c r="B2244" t="str">
        <f>"827 500 596 00313"</f>
        <v>827 500 596 00313</v>
      </c>
      <c r="D2244" t="str">
        <f>"CENTRE DE SANTE DENTAIRE MUTUALISTE"</f>
        <v>CENTRE DE SANTE DENTAIRE MUTUALISTE</v>
      </c>
      <c r="E2244" t="str">
        <f>"RESIDENCE LES 3C"</f>
        <v>RESIDENCE LES 3C</v>
      </c>
      <c r="F2244" t="str">
        <f>"ROUTE DE CALVI"</f>
        <v>ROUTE DE CALVI</v>
      </c>
      <c r="G2244" t="str">
        <f>"LIEU DIT FECCIAJO"</f>
        <v>LIEU DIT FECCIAJO</v>
      </c>
      <c r="H2244" t="str">
        <f>"20220"</f>
        <v>20220</v>
      </c>
      <c r="I2244" t="str">
        <f>"L ILE ROUSSE"</f>
        <v>L ILE ROUSSE</v>
      </c>
      <c r="J2244" t="str">
        <f>"04 95 32 72 86 "</f>
        <v xml:space="preserve">04 95 32 72 86 </v>
      </c>
      <c r="K2244" t="str">
        <f>"04 95 32 72 83"</f>
        <v>04 95 32 72 83</v>
      </c>
      <c r="L2244" s="1">
        <v>38475</v>
      </c>
      <c r="M2244" t="str">
        <f t="shared" si="358"/>
        <v>124</v>
      </c>
      <c r="N2244" t="str">
        <f t="shared" si="359"/>
        <v>Centre de Santé</v>
      </c>
      <c r="O2244" t="str">
        <f>"47"</f>
        <v>47</v>
      </c>
      <c r="P2244" t="str">
        <f>"Société Mutualiste"</f>
        <v>Société Mutualiste</v>
      </c>
      <c r="Q2244" t="str">
        <f t="shared" si="349"/>
        <v>36</v>
      </c>
      <c r="R2244" t="str">
        <f t="shared" si="350"/>
        <v>Tarifs conventionnels assurance maladie</v>
      </c>
      <c r="U2244" t="str">
        <f>"2A0001848"</f>
        <v>2A0001848</v>
      </c>
    </row>
    <row r="2245" spans="1:21" x14ac:dyDescent="0.3">
      <c r="A2245" t="str">
        <f>"620111369"</f>
        <v>620111369</v>
      </c>
      <c r="B2245" t="str">
        <f>"775 685 316 01957"</f>
        <v>775 685 316 01957</v>
      </c>
      <c r="D2245" t="str">
        <f>"CSP FILIERIS DE BILLY MONTIGNY"</f>
        <v>CSP FILIERIS DE BILLY MONTIGNY</v>
      </c>
      <c r="F2245" t="str">
        <f>"8 RUE DU DOCTEUR LOURTIES"</f>
        <v>8 RUE DU DOCTEUR LOURTIES</v>
      </c>
      <c r="H2245" t="str">
        <f>"62420"</f>
        <v>62420</v>
      </c>
      <c r="I2245" t="str">
        <f>"BILLY MONTIGNY"</f>
        <v>BILLY MONTIGNY</v>
      </c>
      <c r="J2245" t="str">
        <f>"03 21 13 22 70 "</f>
        <v xml:space="preserve">03 21 13 22 70 </v>
      </c>
      <c r="L2245" s="1">
        <v>38474</v>
      </c>
      <c r="M2245" t="str">
        <f t="shared" si="358"/>
        <v>124</v>
      </c>
      <c r="N2245" t="str">
        <f t="shared" si="359"/>
        <v>Centre de Santé</v>
      </c>
      <c r="O2245" t="str">
        <f t="shared" ref="O2245:O2259" si="360">"41"</f>
        <v>41</v>
      </c>
      <c r="P2245" t="str">
        <f t="shared" ref="P2245:P2259" si="361">"Régime Spécial de Sécurité Sociale"</f>
        <v>Régime Spécial de Sécurité Sociale</v>
      </c>
      <c r="Q2245" t="str">
        <f t="shared" si="349"/>
        <v>36</v>
      </c>
      <c r="R2245" t="str">
        <f t="shared" si="350"/>
        <v>Tarifs conventionnels assurance maladie</v>
      </c>
      <c r="U2245" t="str">
        <f t="shared" ref="U2245:U2259" si="362">"750050759"</f>
        <v>750050759</v>
      </c>
    </row>
    <row r="2246" spans="1:21" x14ac:dyDescent="0.3">
      <c r="A2246" t="str">
        <f>"620113407"</f>
        <v>620113407</v>
      </c>
      <c r="B2246" t="str">
        <f>"775 685 316 02567"</f>
        <v>775 685 316 02567</v>
      </c>
      <c r="D2246" t="str">
        <f>"CSP FILIERIS D' AVION"</f>
        <v>CSP FILIERIS D' AVION</v>
      </c>
      <c r="F2246" t="str">
        <f>"176 BOULEVARD HENRI MARTEL"</f>
        <v>176 BOULEVARD HENRI MARTEL</v>
      </c>
      <c r="H2246" t="str">
        <f>"62210"</f>
        <v>62210</v>
      </c>
      <c r="I2246" t="str">
        <f>"AVION"</f>
        <v>AVION</v>
      </c>
      <c r="J2246" t="str">
        <f>"03 21 08 69 70 "</f>
        <v xml:space="preserve">03 21 08 69 70 </v>
      </c>
      <c r="L2246" s="1">
        <v>38474</v>
      </c>
      <c r="M2246" t="str">
        <f t="shared" si="358"/>
        <v>124</v>
      </c>
      <c r="N2246" t="str">
        <f t="shared" si="359"/>
        <v>Centre de Santé</v>
      </c>
      <c r="O2246" t="str">
        <f t="shared" si="360"/>
        <v>41</v>
      </c>
      <c r="P2246" t="str">
        <f t="shared" si="361"/>
        <v>Régime Spécial de Sécurité Sociale</v>
      </c>
      <c r="Q2246" t="str">
        <f t="shared" si="349"/>
        <v>36</v>
      </c>
      <c r="R2246" t="str">
        <f t="shared" si="350"/>
        <v>Tarifs conventionnels assurance maladie</v>
      </c>
      <c r="U2246" t="str">
        <f t="shared" si="362"/>
        <v>750050759</v>
      </c>
    </row>
    <row r="2247" spans="1:21" x14ac:dyDescent="0.3">
      <c r="A2247" t="str">
        <f>"620114918"</f>
        <v>620114918</v>
      </c>
      <c r="B2247" t="str">
        <f>"775 685 316 02633"</f>
        <v>775 685 316 02633</v>
      </c>
      <c r="D2247" t="str">
        <f>"CSP FILIERIS DE OIGNIES"</f>
        <v>CSP FILIERIS DE OIGNIES</v>
      </c>
      <c r="F2247" t="str">
        <f>"59 RUE PASTEUR ANGLE SEMBA"</f>
        <v>59 RUE PASTEUR ANGLE SEMBA</v>
      </c>
      <c r="H2247" t="str">
        <f>"62590"</f>
        <v>62590</v>
      </c>
      <c r="I2247" t="str">
        <f>"OIGNIES"</f>
        <v>OIGNIES</v>
      </c>
      <c r="J2247" t="str">
        <f>"03 21 08 69 70 "</f>
        <v xml:space="preserve">03 21 08 69 70 </v>
      </c>
      <c r="L2247" s="1">
        <v>38474</v>
      </c>
      <c r="M2247" t="str">
        <f t="shared" si="358"/>
        <v>124</v>
      </c>
      <c r="N2247" t="str">
        <f t="shared" si="359"/>
        <v>Centre de Santé</v>
      </c>
      <c r="O2247" t="str">
        <f t="shared" si="360"/>
        <v>41</v>
      </c>
      <c r="P2247" t="str">
        <f t="shared" si="361"/>
        <v>Régime Spécial de Sécurité Sociale</v>
      </c>
      <c r="Q2247" t="str">
        <f t="shared" si="349"/>
        <v>36</v>
      </c>
      <c r="R2247" t="str">
        <f t="shared" si="350"/>
        <v>Tarifs conventionnels assurance maladie</v>
      </c>
      <c r="U2247" t="str">
        <f t="shared" si="362"/>
        <v>750050759</v>
      </c>
    </row>
    <row r="2248" spans="1:21" x14ac:dyDescent="0.3">
      <c r="A2248" t="str">
        <f>"620116293"</f>
        <v>620116293</v>
      </c>
      <c r="B2248" t="str">
        <f>"775 685 316 01668"</f>
        <v>775 685 316 01668</v>
      </c>
      <c r="D2248" t="str">
        <f>"CSP FILIERIS DE LENS"</f>
        <v>CSP FILIERIS DE LENS</v>
      </c>
      <c r="F2248" t="str">
        <f>"220 RUE MOLIERE"</f>
        <v>220 RUE MOLIERE</v>
      </c>
      <c r="H2248" t="str">
        <f>"62300"</f>
        <v>62300</v>
      </c>
      <c r="I2248" t="str">
        <f>"LENS"</f>
        <v>LENS</v>
      </c>
      <c r="J2248" t="str">
        <f>"03 21 70 63 73 "</f>
        <v xml:space="preserve">03 21 70 63 73 </v>
      </c>
      <c r="L2248" s="1">
        <v>38474</v>
      </c>
      <c r="M2248" t="str">
        <f t="shared" si="358"/>
        <v>124</v>
      </c>
      <c r="N2248" t="str">
        <f t="shared" si="359"/>
        <v>Centre de Santé</v>
      </c>
      <c r="O2248" t="str">
        <f t="shared" si="360"/>
        <v>41</v>
      </c>
      <c r="P2248" t="str">
        <f t="shared" si="361"/>
        <v>Régime Spécial de Sécurité Sociale</v>
      </c>
      <c r="Q2248" t="str">
        <f t="shared" si="349"/>
        <v>36</v>
      </c>
      <c r="R2248" t="str">
        <f t="shared" si="350"/>
        <v>Tarifs conventionnels assurance maladie</v>
      </c>
      <c r="U2248" t="str">
        <f t="shared" si="362"/>
        <v>750050759</v>
      </c>
    </row>
    <row r="2249" spans="1:21" x14ac:dyDescent="0.3">
      <c r="A2249" t="str">
        <f>"620119354"</f>
        <v>620119354</v>
      </c>
      <c r="B2249" t="str">
        <f>"775 685 316 01882"</f>
        <v>775 685 316 01882</v>
      </c>
      <c r="D2249" t="str">
        <f>"CSP + CMS FILIERIS DE GRENAY"</f>
        <v>CSP + CMS FILIERIS DE GRENAY</v>
      </c>
      <c r="F2249" t="str">
        <f>"PLACE DANIEL BRETON ET J JAURÈS"</f>
        <v>PLACE DANIEL BRETON ET J JAURÈS</v>
      </c>
      <c r="H2249" t="str">
        <f>"62160"</f>
        <v>62160</v>
      </c>
      <c r="I2249" t="str">
        <f>"GRENAY"</f>
        <v>GRENAY</v>
      </c>
      <c r="J2249" t="str">
        <f>"03 21 72 00 00 "</f>
        <v xml:space="preserve">03 21 72 00 00 </v>
      </c>
      <c r="L2249" s="1">
        <v>38474</v>
      </c>
      <c r="M2249" t="str">
        <f t="shared" si="358"/>
        <v>124</v>
      </c>
      <c r="N2249" t="str">
        <f t="shared" si="359"/>
        <v>Centre de Santé</v>
      </c>
      <c r="O2249" t="str">
        <f t="shared" si="360"/>
        <v>41</v>
      </c>
      <c r="P2249" t="str">
        <f t="shared" si="361"/>
        <v>Régime Spécial de Sécurité Sociale</v>
      </c>
      <c r="Q2249" t="str">
        <f t="shared" si="349"/>
        <v>36</v>
      </c>
      <c r="R2249" t="str">
        <f t="shared" si="350"/>
        <v>Tarifs conventionnels assurance maladie</v>
      </c>
      <c r="U2249" t="str">
        <f t="shared" si="362"/>
        <v>750050759</v>
      </c>
    </row>
    <row r="2250" spans="1:21" x14ac:dyDescent="0.3">
      <c r="A2250" t="str">
        <f>"620119362"</f>
        <v>620119362</v>
      </c>
      <c r="B2250" t="str">
        <f>"775 685 316 01627"</f>
        <v>775 685 316 01627</v>
      </c>
      <c r="D2250" t="str">
        <f>"CSP+CMS FILIERIS DE LENS"</f>
        <v>CSP+CMS FILIERIS DE LENS</v>
      </c>
      <c r="F2250" t="str">
        <f>"57 ROUTE DE LA BASSEE"</f>
        <v>57 ROUTE DE LA BASSEE</v>
      </c>
      <c r="H2250" t="str">
        <f>"62300"</f>
        <v>62300</v>
      </c>
      <c r="I2250" t="str">
        <f>"LENS"</f>
        <v>LENS</v>
      </c>
      <c r="J2250" t="str">
        <f>"03 21 13 05 42 "</f>
        <v xml:space="preserve">03 21 13 05 42 </v>
      </c>
      <c r="L2250" s="1">
        <v>38474</v>
      </c>
      <c r="M2250" t="str">
        <f t="shared" si="358"/>
        <v>124</v>
      </c>
      <c r="N2250" t="str">
        <f t="shared" si="359"/>
        <v>Centre de Santé</v>
      </c>
      <c r="O2250" t="str">
        <f t="shared" si="360"/>
        <v>41</v>
      </c>
      <c r="P2250" t="str">
        <f t="shared" si="361"/>
        <v>Régime Spécial de Sécurité Sociale</v>
      </c>
      <c r="Q2250" t="str">
        <f t="shared" si="349"/>
        <v>36</v>
      </c>
      <c r="R2250" t="str">
        <f t="shared" si="350"/>
        <v>Tarifs conventionnels assurance maladie</v>
      </c>
      <c r="U2250" t="str">
        <f t="shared" si="362"/>
        <v>750050759</v>
      </c>
    </row>
    <row r="2251" spans="1:21" x14ac:dyDescent="0.3">
      <c r="A2251" t="str">
        <f>"620119479"</f>
        <v>620119479</v>
      </c>
      <c r="B2251" t="str">
        <f>"775 685 316 00777"</f>
        <v>775 685 316 00777</v>
      </c>
      <c r="D2251" t="str">
        <f>"CSP FILIERIS DE BULLY"</f>
        <v>CSP FILIERIS DE BULLY</v>
      </c>
      <c r="F2251" t="str">
        <f>"BOULEVARD DE LA CITE 2"</f>
        <v>BOULEVARD DE LA CITE 2</v>
      </c>
      <c r="H2251" t="str">
        <f>"62160"</f>
        <v>62160</v>
      </c>
      <c r="I2251" t="str">
        <f>"BULLY LES MINES"</f>
        <v>BULLY LES MINES</v>
      </c>
      <c r="J2251" t="str">
        <f>"03 21 29 43 68 "</f>
        <v xml:space="preserve">03 21 29 43 68 </v>
      </c>
      <c r="L2251" s="1">
        <v>38474</v>
      </c>
      <c r="M2251" t="str">
        <f t="shared" si="358"/>
        <v>124</v>
      </c>
      <c r="N2251" t="str">
        <f t="shared" si="359"/>
        <v>Centre de Santé</v>
      </c>
      <c r="O2251" t="str">
        <f t="shared" si="360"/>
        <v>41</v>
      </c>
      <c r="P2251" t="str">
        <f t="shared" si="361"/>
        <v>Régime Spécial de Sécurité Sociale</v>
      </c>
      <c r="Q2251" t="str">
        <f t="shared" si="349"/>
        <v>36</v>
      </c>
      <c r="R2251" t="str">
        <f t="shared" si="350"/>
        <v>Tarifs conventionnels assurance maladie</v>
      </c>
      <c r="U2251" t="str">
        <f t="shared" si="362"/>
        <v>750050759</v>
      </c>
    </row>
    <row r="2252" spans="1:21" x14ac:dyDescent="0.3">
      <c r="A2252" t="str">
        <f>"620119495"</f>
        <v>620119495</v>
      </c>
      <c r="B2252" t="str">
        <f>"775 685 316 02302"</f>
        <v>775 685 316 02302</v>
      </c>
      <c r="D2252" t="str">
        <f>"CSP FILIERIS DE BULLY"</f>
        <v>CSP FILIERIS DE BULLY</v>
      </c>
      <c r="F2252" t="str">
        <f>"2 BOULEVARD DES ALOUETTES"</f>
        <v>2 BOULEVARD DES ALOUETTES</v>
      </c>
      <c r="H2252" t="str">
        <f>"62160"</f>
        <v>62160</v>
      </c>
      <c r="I2252" t="str">
        <f>"BULLY LES MINES"</f>
        <v>BULLY LES MINES</v>
      </c>
      <c r="J2252" t="str">
        <f>"03 21 29 16 19 "</f>
        <v xml:space="preserve">03 21 29 16 19 </v>
      </c>
      <c r="L2252" s="1">
        <v>38474</v>
      </c>
      <c r="M2252" t="str">
        <f t="shared" si="358"/>
        <v>124</v>
      </c>
      <c r="N2252" t="str">
        <f t="shared" si="359"/>
        <v>Centre de Santé</v>
      </c>
      <c r="O2252" t="str">
        <f t="shared" si="360"/>
        <v>41</v>
      </c>
      <c r="P2252" t="str">
        <f t="shared" si="361"/>
        <v>Régime Spécial de Sécurité Sociale</v>
      </c>
      <c r="Q2252" t="str">
        <f t="shared" si="349"/>
        <v>36</v>
      </c>
      <c r="R2252" t="str">
        <f t="shared" si="350"/>
        <v>Tarifs conventionnels assurance maladie</v>
      </c>
      <c r="U2252" t="str">
        <f t="shared" si="362"/>
        <v>750050759</v>
      </c>
    </row>
    <row r="2253" spans="1:21" x14ac:dyDescent="0.3">
      <c r="A2253" t="str">
        <f>"620119602"</f>
        <v>620119602</v>
      </c>
      <c r="B2253" t="str">
        <f>"775 685 316 02245"</f>
        <v>775 685 316 02245</v>
      </c>
      <c r="D2253" t="str">
        <f>"CSP FILIERIS DE BRUAY"</f>
        <v>CSP FILIERIS DE BRUAY</v>
      </c>
      <c r="F2253" t="str">
        <f>"350 RUE DES ÉTATS UNIS"</f>
        <v>350 RUE DES ÉTATS UNIS</v>
      </c>
      <c r="H2253" t="str">
        <f>"62700"</f>
        <v>62700</v>
      </c>
      <c r="I2253" t="str">
        <f>"BRUAY LA BUISSIERE"</f>
        <v>BRUAY LA BUISSIERE</v>
      </c>
      <c r="J2253" t="str">
        <f>"03 21 62 51 25 "</f>
        <v xml:space="preserve">03 21 62 51 25 </v>
      </c>
      <c r="L2253" s="1">
        <v>38474</v>
      </c>
      <c r="M2253" t="str">
        <f t="shared" si="358"/>
        <v>124</v>
      </c>
      <c r="N2253" t="str">
        <f t="shared" si="359"/>
        <v>Centre de Santé</v>
      </c>
      <c r="O2253" t="str">
        <f t="shared" si="360"/>
        <v>41</v>
      </c>
      <c r="P2253" t="str">
        <f t="shared" si="361"/>
        <v>Régime Spécial de Sécurité Sociale</v>
      </c>
      <c r="Q2253" t="str">
        <f t="shared" si="349"/>
        <v>36</v>
      </c>
      <c r="R2253" t="str">
        <f t="shared" si="350"/>
        <v>Tarifs conventionnels assurance maladie</v>
      </c>
      <c r="U2253" t="str">
        <f t="shared" si="362"/>
        <v>750050759</v>
      </c>
    </row>
    <row r="2254" spans="1:21" x14ac:dyDescent="0.3">
      <c r="A2254" t="str">
        <f>"620119628"</f>
        <v>620119628</v>
      </c>
      <c r="B2254" t="str">
        <f>"775 685 316 01932"</f>
        <v>775 685 316 01932</v>
      </c>
      <c r="D2254" t="str">
        <f>"CSP FILIERIS DE BRUAY"</f>
        <v>CSP FILIERIS DE BRUAY</v>
      </c>
      <c r="F2254" t="str">
        <f>"RUE CHARLES MARLARD"</f>
        <v>RUE CHARLES MARLARD</v>
      </c>
      <c r="H2254" t="str">
        <f>"62700"</f>
        <v>62700</v>
      </c>
      <c r="I2254" t="str">
        <f>"BRUAY LA BUISSIERE"</f>
        <v>BRUAY LA BUISSIERE</v>
      </c>
      <c r="J2254" t="str">
        <f>"03 21 62 46 55 "</f>
        <v xml:space="preserve">03 21 62 46 55 </v>
      </c>
      <c r="L2254" s="1">
        <v>38474</v>
      </c>
      <c r="M2254" t="str">
        <f t="shared" si="358"/>
        <v>124</v>
      </c>
      <c r="N2254" t="str">
        <f t="shared" si="359"/>
        <v>Centre de Santé</v>
      </c>
      <c r="O2254" t="str">
        <f t="shared" si="360"/>
        <v>41</v>
      </c>
      <c r="P2254" t="str">
        <f t="shared" si="361"/>
        <v>Régime Spécial de Sécurité Sociale</v>
      </c>
      <c r="Q2254" t="str">
        <f t="shared" si="349"/>
        <v>36</v>
      </c>
      <c r="R2254" t="str">
        <f t="shared" si="350"/>
        <v>Tarifs conventionnels assurance maladie</v>
      </c>
      <c r="U2254" t="str">
        <f t="shared" si="362"/>
        <v>750050759</v>
      </c>
    </row>
    <row r="2255" spans="1:21" x14ac:dyDescent="0.3">
      <c r="A2255" t="str">
        <f>"620119750"</f>
        <v>620119750</v>
      </c>
      <c r="B2255" t="str">
        <f>"775 685 316 01114"</f>
        <v>775 685 316 01114</v>
      </c>
      <c r="D2255" t="str">
        <f>"CSP FILIERIS DE BRUAY LA BUISSIERE"</f>
        <v>CSP FILIERIS DE BRUAY LA BUISSIERE</v>
      </c>
      <c r="F2255" t="str">
        <f>"195 RUE LOUIS DUSSART"</f>
        <v>195 RUE LOUIS DUSSART</v>
      </c>
      <c r="H2255" t="str">
        <f>"62700"</f>
        <v>62700</v>
      </c>
      <c r="I2255" t="str">
        <f>"BRUAY LA BUISSIERE"</f>
        <v>BRUAY LA BUISSIERE</v>
      </c>
      <c r="J2255" t="str">
        <f>"03 21 61 61 10 "</f>
        <v xml:space="preserve">03 21 61 61 10 </v>
      </c>
      <c r="L2255" s="1">
        <v>38474</v>
      </c>
      <c r="M2255" t="str">
        <f t="shared" si="358"/>
        <v>124</v>
      </c>
      <c r="N2255" t="str">
        <f t="shared" si="359"/>
        <v>Centre de Santé</v>
      </c>
      <c r="O2255" t="str">
        <f t="shared" si="360"/>
        <v>41</v>
      </c>
      <c r="P2255" t="str">
        <f t="shared" si="361"/>
        <v>Régime Spécial de Sécurité Sociale</v>
      </c>
      <c r="Q2255" t="str">
        <f t="shared" si="349"/>
        <v>36</v>
      </c>
      <c r="R2255" t="str">
        <f t="shared" si="350"/>
        <v>Tarifs conventionnels assurance maladie</v>
      </c>
      <c r="U2255" t="str">
        <f t="shared" si="362"/>
        <v>750050759</v>
      </c>
    </row>
    <row r="2256" spans="1:21" x14ac:dyDescent="0.3">
      <c r="A2256" t="str">
        <f>"570021428"</f>
        <v>570021428</v>
      </c>
      <c r="B2256" t="str">
        <f>"775 685 316 03243"</f>
        <v>775 685 316 03243</v>
      </c>
      <c r="D2256" t="str">
        <f>"CSP FILIERIS  DE CREHANGE"</f>
        <v>CSP FILIERIS  DE CREHANGE</v>
      </c>
      <c r="F2256" t="str">
        <f>"63 RUE DE BRETAGNE"</f>
        <v>63 RUE DE BRETAGNE</v>
      </c>
      <c r="H2256" t="str">
        <f>"57690"</f>
        <v>57690</v>
      </c>
      <c r="I2256" t="str">
        <f>"CREHANGE"</f>
        <v>CREHANGE</v>
      </c>
      <c r="J2256" t="str">
        <f>"03 87 94 35 71 "</f>
        <v xml:space="preserve">03 87 94 35 71 </v>
      </c>
      <c r="K2256" t="str">
        <f>"03 87 04 80 70"</f>
        <v>03 87 04 80 70</v>
      </c>
      <c r="L2256" s="1">
        <v>38457</v>
      </c>
      <c r="M2256" t="str">
        <f t="shared" si="358"/>
        <v>124</v>
      </c>
      <c r="N2256" t="str">
        <f t="shared" si="359"/>
        <v>Centre de Santé</v>
      </c>
      <c r="O2256" t="str">
        <f t="shared" si="360"/>
        <v>41</v>
      </c>
      <c r="P2256" t="str">
        <f t="shared" si="361"/>
        <v>Régime Spécial de Sécurité Sociale</v>
      </c>
      <c r="Q2256" t="str">
        <f t="shared" si="349"/>
        <v>36</v>
      </c>
      <c r="R2256" t="str">
        <f t="shared" si="350"/>
        <v>Tarifs conventionnels assurance maladie</v>
      </c>
      <c r="U2256" t="str">
        <f t="shared" si="362"/>
        <v>750050759</v>
      </c>
    </row>
    <row r="2257" spans="1:21" x14ac:dyDescent="0.3">
      <c r="A2257" t="str">
        <f>"570021519"</f>
        <v>570021519</v>
      </c>
      <c r="B2257" t="str">
        <f>"775 685 316 03615"</f>
        <v>775 685 316 03615</v>
      </c>
      <c r="D2257" t="str">
        <f>"CSP FILIERIS DE STIRING WENDEL"</f>
        <v>CSP FILIERIS DE STIRING WENDEL</v>
      </c>
      <c r="F2257" t="str">
        <f>"6 PLACE SAINTE MARTHE"</f>
        <v>6 PLACE SAINTE MARTHE</v>
      </c>
      <c r="H2257" t="str">
        <f>"57350"</f>
        <v>57350</v>
      </c>
      <c r="I2257" t="str">
        <f>"STIRING WENDEL"</f>
        <v>STIRING WENDEL</v>
      </c>
      <c r="J2257" t="str">
        <f>"03 87 87 47 26 "</f>
        <v xml:space="preserve">03 87 87 47 26 </v>
      </c>
      <c r="L2257" s="1">
        <v>38457</v>
      </c>
      <c r="M2257" t="str">
        <f t="shared" si="358"/>
        <v>124</v>
      </c>
      <c r="N2257" t="str">
        <f t="shared" si="359"/>
        <v>Centre de Santé</v>
      </c>
      <c r="O2257" t="str">
        <f t="shared" si="360"/>
        <v>41</v>
      </c>
      <c r="P2257" t="str">
        <f t="shared" si="361"/>
        <v>Régime Spécial de Sécurité Sociale</v>
      </c>
      <c r="Q2257" t="str">
        <f t="shared" si="349"/>
        <v>36</v>
      </c>
      <c r="R2257" t="str">
        <f t="shared" si="350"/>
        <v>Tarifs conventionnels assurance maladie</v>
      </c>
      <c r="U2257" t="str">
        <f t="shared" si="362"/>
        <v>750050759</v>
      </c>
    </row>
    <row r="2258" spans="1:21" x14ac:dyDescent="0.3">
      <c r="A2258" t="str">
        <f>"570020909"</f>
        <v>570020909</v>
      </c>
      <c r="B2258" t="str">
        <f>"775 685 316 03151"</f>
        <v>775 685 316 03151</v>
      </c>
      <c r="D2258" t="str">
        <f>"CSP FILIERIS DE ALGRANGE"</f>
        <v>CSP FILIERIS DE ALGRANGE</v>
      </c>
      <c r="E2258" t="str">
        <f>"ZONE COMMERCIALE"</f>
        <v>ZONE COMMERCIALE</v>
      </c>
      <c r="F2258" t="str">
        <f>"RUE DE KNUTANGE"</f>
        <v>RUE DE KNUTANGE</v>
      </c>
      <c r="H2258" t="str">
        <f>"57440"</f>
        <v>57440</v>
      </c>
      <c r="I2258" t="str">
        <f>"ALGRANGE"</f>
        <v>ALGRANGE</v>
      </c>
      <c r="J2258" t="str">
        <f>"03 82 85 80 77 "</f>
        <v xml:space="preserve">03 82 85 80 77 </v>
      </c>
      <c r="L2258" s="1">
        <v>38448</v>
      </c>
      <c r="M2258" t="str">
        <f t="shared" si="358"/>
        <v>124</v>
      </c>
      <c r="N2258" t="str">
        <f t="shared" si="359"/>
        <v>Centre de Santé</v>
      </c>
      <c r="O2258" t="str">
        <f t="shared" si="360"/>
        <v>41</v>
      </c>
      <c r="P2258" t="str">
        <f t="shared" si="361"/>
        <v>Régime Spécial de Sécurité Sociale</v>
      </c>
      <c r="Q2258" t="str">
        <f t="shared" si="349"/>
        <v>36</v>
      </c>
      <c r="R2258" t="str">
        <f t="shared" si="350"/>
        <v>Tarifs conventionnels assurance maladie</v>
      </c>
      <c r="U2258" t="str">
        <f t="shared" si="362"/>
        <v>750050759</v>
      </c>
    </row>
    <row r="2259" spans="1:21" x14ac:dyDescent="0.3">
      <c r="A2259" t="str">
        <f>"570021279"</f>
        <v>570021279</v>
      </c>
      <c r="B2259" t="str">
        <f>"775 685 316 03458"</f>
        <v>775 685 316 03458</v>
      </c>
      <c r="D2259" t="str">
        <f>"CSP FILIERIS MOYEUVRE GRANDE"</f>
        <v>CSP FILIERIS MOYEUVRE GRANDE</v>
      </c>
      <c r="E2259" t="str">
        <f>"A"</f>
        <v>A</v>
      </c>
      <c r="F2259" t="str">
        <f>"31 RUE GEORGES WODLI"</f>
        <v>31 RUE GEORGES WODLI</v>
      </c>
      <c r="H2259" t="str">
        <f>"57250"</f>
        <v>57250</v>
      </c>
      <c r="I2259" t="str">
        <f>"MOYEUVRE GRANDE"</f>
        <v>MOYEUVRE GRANDE</v>
      </c>
      <c r="J2259" t="str">
        <f>"03 87 58 53 80 "</f>
        <v xml:space="preserve">03 87 58 53 80 </v>
      </c>
      <c r="L2259" s="1">
        <v>38448</v>
      </c>
      <c r="M2259" t="str">
        <f t="shared" si="358"/>
        <v>124</v>
      </c>
      <c r="N2259" t="str">
        <f t="shared" si="359"/>
        <v>Centre de Santé</v>
      </c>
      <c r="O2259" t="str">
        <f t="shared" si="360"/>
        <v>41</v>
      </c>
      <c r="P2259" t="str">
        <f t="shared" si="361"/>
        <v>Régime Spécial de Sécurité Sociale</v>
      </c>
      <c r="Q2259" t="str">
        <f t="shared" si="349"/>
        <v>36</v>
      </c>
      <c r="R2259" t="str">
        <f t="shared" si="350"/>
        <v>Tarifs conventionnels assurance maladie</v>
      </c>
      <c r="U2259" t="str">
        <f t="shared" si="362"/>
        <v>750050759</v>
      </c>
    </row>
    <row r="2260" spans="1:21" x14ac:dyDescent="0.3">
      <c r="A2260" t="str">
        <f>"340012988"</f>
        <v>340012988</v>
      </c>
      <c r="B2260" t="str">
        <f>"444 270 326 00317"</f>
        <v>444 270 326 00317</v>
      </c>
      <c r="D2260" t="str">
        <f>"CDS POLYVALENT MUTUALISTE MTP EUROMED"</f>
        <v>CDS POLYVALENT MUTUALISTE MTP EUROMED</v>
      </c>
      <c r="E2260" t="str">
        <f>"PARC EUROMEDECINE"</f>
        <v>PARC EUROMEDECINE</v>
      </c>
      <c r="F2260" t="str">
        <f>"128 RUE DU CADUCEE"</f>
        <v>128 RUE DU CADUCEE</v>
      </c>
      <c r="H2260" t="str">
        <f>"34090"</f>
        <v>34090</v>
      </c>
      <c r="I2260" t="str">
        <f>"MONTPELLIER"</f>
        <v>MONTPELLIER</v>
      </c>
      <c r="J2260" t="str">
        <f>"04 67 02 92 26 "</f>
        <v xml:space="preserve">04 67 02 92 26 </v>
      </c>
      <c r="K2260" t="str">
        <f>"04 67 02 92 23"</f>
        <v>04 67 02 92 23</v>
      </c>
      <c r="L2260" s="1">
        <v>38446</v>
      </c>
      <c r="M2260" t="str">
        <f t="shared" si="358"/>
        <v>124</v>
      </c>
      <c r="N2260" t="str">
        <f t="shared" si="359"/>
        <v>Centre de Santé</v>
      </c>
      <c r="O2260" t="str">
        <f>"47"</f>
        <v>47</v>
      </c>
      <c r="P2260" t="str">
        <f>"Société Mutualiste"</f>
        <v>Société Mutualiste</v>
      </c>
      <c r="Q2260" t="str">
        <f t="shared" si="349"/>
        <v>36</v>
      </c>
      <c r="R2260" t="str">
        <f t="shared" si="350"/>
        <v>Tarifs conventionnels assurance maladie</v>
      </c>
      <c r="U2260" t="str">
        <f>"340028901"</f>
        <v>340028901</v>
      </c>
    </row>
    <row r="2261" spans="1:21" x14ac:dyDescent="0.3">
      <c r="A2261" t="str">
        <f>"620113811"</f>
        <v>620113811</v>
      </c>
      <c r="B2261" t="str">
        <f>"775 685 316 02542"</f>
        <v>775 685 316 02542</v>
      </c>
      <c r="D2261" t="str">
        <f>"CSP FILIERIS AUCHEL"</f>
        <v>CSP FILIERIS AUCHEL</v>
      </c>
      <c r="F2261" t="str">
        <f>"306 BOULEVARD BASLY"</f>
        <v>306 BOULEVARD BASLY</v>
      </c>
      <c r="H2261" t="str">
        <f>"62260"</f>
        <v>62260</v>
      </c>
      <c r="I2261" t="str">
        <f>"AUCHEL"</f>
        <v>AUCHEL</v>
      </c>
      <c r="J2261" t="str">
        <f>"03 21 27 05 86 "</f>
        <v xml:space="preserve">03 21 27 05 86 </v>
      </c>
      <c r="L2261" s="1">
        <v>38433</v>
      </c>
      <c r="M2261" t="str">
        <f t="shared" si="358"/>
        <v>124</v>
      </c>
      <c r="N2261" t="str">
        <f t="shared" si="359"/>
        <v>Centre de Santé</v>
      </c>
      <c r="O2261" t="str">
        <f>"41"</f>
        <v>41</v>
      </c>
      <c r="P2261" t="str">
        <f>"Régime Spécial de Sécurité Sociale"</f>
        <v>Régime Spécial de Sécurité Sociale</v>
      </c>
      <c r="Q2261" t="str">
        <f t="shared" si="349"/>
        <v>36</v>
      </c>
      <c r="R2261" t="str">
        <f t="shared" si="350"/>
        <v>Tarifs conventionnels assurance maladie</v>
      </c>
      <c r="U2261" t="str">
        <f>"750050759"</f>
        <v>750050759</v>
      </c>
    </row>
    <row r="2262" spans="1:21" x14ac:dyDescent="0.3">
      <c r="A2262" t="str">
        <f>"930012588"</f>
        <v>930012588</v>
      </c>
      <c r="B2262" t="str">
        <f>"219 300 738 00362"</f>
        <v>219 300 738 00362</v>
      </c>
      <c r="D2262" t="str">
        <f>"CDS MUNICIPAL FRANCOISE DOLTO"</f>
        <v>CDS MUNICIPAL FRANCOISE DOLTO</v>
      </c>
      <c r="F2262" t="str">
        <f>"7 COURS DE LA REPUBLIQUE"</f>
        <v>7 COURS DE LA REPUBLIQUE</v>
      </c>
      <c r="H2262" t="str">
        <f>"93290"</f>
        <v>93290</v>
      </c>
      <c r="I2262" t="str">
        <f>"TREMBLAY EN FRANCE"</f>
        <v>TREMBLAY EN FRANCE</v>
      </c>
      <c r="J2262" t="str">
        <f>"01 48 61 87 97 "</f>
        <v xml:space="preserve">01 48 61 87 97 </v>
      </c>
      <c r="K2262" t="str">
        <f>"01 48 61 87 96"</f>
        <v>01 48 61 87 96</v>
      </c>
      <c r="L2262" s="1">
        <v>38428</v>
      </c>
      <c r="M2262" t="str">
        <f t="shared" si="358"/>
        <v>124</v>
      </c>
      <c r="N2262" t="str">
        <f t="shared" si="359"/>
        <v>Centre de Santé</v>
      </c>
      <c r="O2262" t="str">
        <f>"03"</f>
        <v>03</v>
      </c>
      <c r="P2262" t="str">
        <f>"Commune"</f>
        <v>Commune</v>
      </c>
      <c r="Q2262" t="str">
        <f t="shared" si="349"/>
        <v>36</v>
      </c>
      <c r="R2262" t="str">
        <f t="shared" si="350"/>
        <v>Tarifs conventionnels assurance maladie</v>
      </c>
      <c r="U2262" t="str">
        <f>"930813233"</f>
        <v>930813233</v>
      </c>
    </row>
    <row r="2263" spans="1:21" x14ac:dyDescent="0.3">
      <c r="A2263" t="str">
        <f>"620116111"</f>
        <v>620116111</v>
      </c>
      <c r="B2263" t="str">
        <f>"775 685 316 01312"</f>
        <v>775 685 316 01312</v>
      </c>
      <c r="D2263" t="str">
        <f>"CSP FILIERIS DE WINGLES"</f>
        <v>CSP FILIERIS DE WINGLES</v>
      </c>
      <c r="F2263" t="str">
        <f>"RUE PASTEUR"</f>
        <v>RUE PASTEUR</v>
      </c>
      <c r="H2263" t="str">
        <f>"62880"</f>
        <v>62880</v>
      </c>
      <c r="I2263" t="str">
        <f>"VENDIN LE VIEIL"</f>
        <v>VENDIN LE VIEIL</v>
      </c>
      <c r="J2263" t="str">
        <f>"03 21 69 30 95 "</f>
        <v xml:space="preserve">03 21 69 30 95 </v>
      </c>
      <c r="L2263" s="1">
        <v>38422</v>
      </c>
      <c r="M2263" t="str">
        <f t="shared" si="358"/>
        <v>124</v>
      </c>
      <c r="N2263" t="str">
        <f t="shared" si="359"/>
        <v>Centre de Santé</v>
      </c>
      <c r="O2263" t="str">
        <f>"41"</f>
        <v>41</v>
      </c>
      <c r="P2263" t="str">
        <f>"Régime Spécial de Sécurité Sociale"</f>
        <v>Régime Spécial de Sécurité Sociale</v>
      </c>
      <c r="Q2263" t="str">
        <f t="shared" si="349"/>
        <v>36</v>
      </c>
      <c r="R2263" t="str">
        <f t="shared" si="350"/>
        <v>Tarifs conventionnels assurance maladie</v>
      </c>
      <c r="U2263" t="str">
        <f>"750050759"</f>
        <v>750050759</v>
      </c>
    </row>
    <row r="2264" spans="1:21" x14ac:dyDescent="0.3">
      <c r="A2264" t="str">
        <f>"340011469"</f>
        <v>340011469</v>
      </c>
      <c r="B2264" t="str">
        <f>"444 270 326 00556"</f>
        <v>444 270 326 00556</v>
      </c>
      <c r="D2264" t="str">
        <f>"CDS POLYVALENT POLE SANTE GIGNAC"</f>
        <v>CDS POLYVALENT POLE SANTE GIGNAC</v>
      </c>
      <c r="F2264" t="str">
        <f>"280 AVENUE DE LODEVE"</f>
        <v>280 AVENUE DE LODEVE</v>
      </c>
      <c r="H2264" t="str">
        <f>"34150"</f>
        <v>34150</v>
      </c>
      <c r="I2264" t="str">
        <f>"GIGNAC"</f>
        <v>GIGNAC</v>
      </c>
      <c r="J2264" t="str">
        <f>"04 67 88 41 81 "</f>
        <v xml:space="preserve">04 67 88 41 81 </v>
      </c>
      <c r="L2264" s="1">
        <v>38355</v>
      </c>
      <c r="M2264" t="str">
        <f t="shared" si="358"/>
        <v>124</v>
      </c>
      <c r="N2264" t="str">
        <f t="shared" si="359"/>
        <v>Centre de Santé</v>
      </c>
      <c r="O2264" t="str">
        <f>"47"</f>
        <v>47</v>
      </c>
      <c r="P2264" t="str">
        <f>"Société Mutualiste"</f>
        <v>Société Mutualiste</v>
      </c>
      <c r="Q2264" t="str">
        <f t="shared" si="349"/>
        <v>36</v>
      </c>
      <c r="R2264" t="str">
        <f t="shared" si="350"/>
        <v>Tarifs conventionnels assurance maladie</v>
      </c>
      <c r="U2264" t="str">
        <f>"340028901"</f>
        <v>340028901</v>
      </c>
    </row>
    <row r="2265" spans="1:21" x14ac:dyDescent="0.3">
      <c r="A2265" t="str">
        <f>"300007408"</f>
        <v>300007408</v>
      </c>
      <c r="B2265" t="str">
        <f>"512 611 781 00505"</f>
        <v>512 611 781 00505</v>
      </c>
      <c r="D2265" t="str">
        <f>"CENTRE SANTE DENTAIRE LA GRAND COMBE"</f>
        <v>CENTRE SANTE DENTAIRE LA GRAND COMBE</v>
      </c>
      <c r="F2265" t="str">
        <f>"34 RUE ANATOLE FRANCE"</f>
        <v>34 RUE ANATOLE FRANCE</v>
      </c>
      <c r="H2265" t="str">
        <f>"30110"</f>
        <v>30110</v>
      </c>
      <c r="I2265" t="str">
        <f>"LA GRAND COMBE"</f>
        <v>LA GRAND COMBE</v>
      </c>
      <c r="J2265" t="str">
        <f>"04 66 34 17 87 "</f>
        <v xml:space="preserve">04 66 34 17 87 </v>
      </c>
      <c r="L2265" s="1">
        <v>38353</v>
      </c>
      <c r="M2265" t="str">
        <f t="shared" si="358"/>
        <v>124</v>
      </c>
      <c r="N2265" t="str">
        <f t="shared" si="359"/>
        <v>Centre de Santé</v>
      </c>
      <c r="O2265" t="str">
        <f>"60"</f>
        <v>60</v>
      </c>
      <c r="P2265" t="str">
        <f>"Association Loi 1901 non Reconnue d'Utilité Publique"</f>
        <v>Association Loi 1901 non Reconnue d'Utilité Publique</v>
      </c>
      <c r="Q2265" t="str">
        <f t="shared" si="349"/>
        <v>36</v>
      </c>
      <c r="R2265" t="str">
        <f t="shared" si="350"/>
        <v>Tarifs conventionnels assurance maladie</v>
      </c>
      <c r="U2265" t="str">
        <f>"840019210"</f>
        <v>840019210</v>
      </c>
    </row>
    <row r="2266" spans="1:21" x14ac:dyDescent="0.3">
      <c r="A2266" t="str">
        <f>"640015186"</f>
        <v>640015186</v>
      </c>
      <c r="B2266" t="str">
        <f>"321 485 542 00179"</f>
        <v>321 485 542 00179</v>
      </c>
      <c r="D2266" t="str">
        <f>"CENTRE DE SANTE DENTAIRE MUTUALISTE"</f>
        <v>CENTRE DE SANTE DENTAIRE MUTUALISTE</v>
      </c>
      <c r="E2266" t="str">
        <f>"CENTRE ERDIAN"</f>
        <v>CENTRE ERDIAN</v>
      </c>
      <c r="F2266" t="str">
        <f>"10 ALLEE VEGA"</f>
        <v>10 ALLEE VEGA</v>
      </c>
      <c r="H2266" t="str">
        <f>"64600"</f>
        <v>64600</v>
      </c>
      <c r="I2266" t="str">
        <f>"ANGLET"</f>
        <v>ANGLET</v>
      </c>
      <c r="J2266" t="str">
        <f>"05 59 52 08 04 "</f>
        <v xml:space="preserve">05 59 52 08 04 </v>
      </c>
      <c r="K2266" t="str">
        <f>"05 59 52 84 77"</f>
        <v>05 59 52 84 77</v>
      </c>
      <c r="L2266" s="1">
        <v>38353</v>
      </c>
      <c r="M2266" t="str">
        <f t="shared" si="358"/>
        <v>124</v>
      </c>
      <c r="N2266" t="str">
        <f t="shared" si="359"/>
        <v>Centre de Santé</v>
      </c>
      <c r="O2266" t="str">
        <f>"47"</f>
        <v>47</v>
      </c>
      <c r="P2266" t="str">
        <f>"Société Mutualiste"</f>
        <v>Société Mutualiste</v>
      </c>
      <c r="Q2266" t="str">
        <f t="shared" si="349"/>
        <v>36</v>
      </c>
      <c r="R2266" t="str">
        <f t="shared" si="350"/>
        <v>Tarifs conventionnels assurance maladie</v>
      </c>
      <c r="U2266" t="str">
        <f>"640795555"</f>
        <v>640795555</v>
      </c>
    </row>
    <row r="2267" spans="1:21" x14ac:dyDescent="0.3">
      <c r="A2267" t="str">
        <f>"290028059"</f>
        <v>290028059</v>
      </c>
      <c r="B2267" t="str">
        <f>"319 294 971 00043"</f>
        <v>319 294 971 00043</v>
      </c>
      <c r="D2267" t="str">
        <f>"CDS INFIRMIER DE JAURES"</f>
        <v>CDS INFIRMIER DE JAURES</v>
      </c>
      <c r="F2267" t="str">
        <f>"200 RUE JEAN JAURES"</f>
        <v>200 RUE JEAN JAURES</v>
      </c>
      <c r="H2267" t="str">
        <f>"29200"</f>
        <v>29200</v>
      </c>
      <c r="I2267" t="str">
        <f>"BREST"</f>
        <v>BREST</v>
      </c>
      <c r="J2267" t="str">
        <f>"02 98 46 86 88 "</f>
        <v xml:space="preserve">02 98 46 86 88 </v>
      </c>
      <c r="K2267" t="str">
        <f>"02 98 46 88 50"</f>
        <v>02 98 46 88 50</v>
      </c>
      <c r="L2267" s="1">
        <v>38292</v>
      </c>
      <c r="M2267" t="str">
        <f t="shared" si="358"/>
        <v>124</v>
      </c>
      <c r="N2267" t="str">
        <f t="shared" si="359"/>
        <v>Centre de Santé</v>
      </c>
      <c r="O2267" t="str">
        <f>"60"</f>
        <v>60</v>
      </c>
      <c r="P2267" t="str">
        <f>"Association Loi 1901 non Reconnue d'Utilité Publique"</f>
        <v>Association Loi 1901 non Reconnue d'Utilité Publique</v>
      </c>
      <c r="Q2267" t="str">
        <f t="shared" si="349"/>
        <v>36</v>
      </c>
      <c r="R2267" t="str">
        <f t="shared" si="350"/>
        <v>Tarifs conventionnels assurance maladie</v>
      </c>
      <c r="U2267" t="str">
        <f>"290001338"</f>
        <v>290001338</v>
      </c>
    </row>
    <row r="2268" spans="1:21" x14ac:dyDescent="0.3">
      <c r="A2268" t="str">
        <f>"750016719"</f>
        <v>750016719</v>
      </c>
      <c r="B2268" t="str">
        <f>"444 001 804 00038"</f>
        <v>444 001 804 00038</v>
      </c>
      <c r="D2268" t="str">
        <f>"CDS PARCOURS D EXIL"</f>
        <v>CDS PARCOURS D EXIL</v>
      </c>
      <c r="F2268" t="str">
        <f>"12 RUE DE LA FONTAINE AU ROI"</f>
        <v>12 RUE DE LA FONTAINE AU ROI</v>
      </c>
      <c r="H2268" t="str">
        <f>"75011"</f>
        <v>75011</v>
      </c>
      <c r="I2268" t="str">
        <f>"PARIS"</f>
        <v>PARIS</v>
      </c>
      <c r="J2268" t="str">
        <f>"01 45 33 31 74 "</f>
        <v xml:space="preserve">01 45 33 31 74 </v>
      </c>
      <c r="K2268" t="str">
        <f>"01 45 33 53 61"</f>
        <v>01 45 33 53 61</v>
      </c>
      <c r="L2268" s="1">
        <v>38265</v>
      </c>
      <c r="M2268" t="str">
        <f t="shared" si="358"/>
        <v>124</v>
      </c>
      <c r="N2268" t="str">
        <f t="shared" si="359"/>
        <v>Centre de Santé</v>
      </c>
      <c r="O2268" t="str">
        <f>"60"</f>
        <v>60</v>
      </c>
      <c r="P2268" t="str">
        <f>"Association Loi 1901 non Reconnue d'Utilité Publique"</f>
        <v>Association Loi 1901 non Reconnue d'Utilité Publique</v>
      </c>
      <c r="Q2268" t="str">
        <f t="shared" si="349"/>
        <v>36</v>
      </c>
      <c r="R2268" t="str">
        <f t="shared" si="350"/>
        <v>Tarifs conventionnels assurance maladie</v>
      </c>
      <c r="U2268" t="str">
        <f>"750016669"</f>
        <v>750016669</v>
      </c>
    </row>
    <row r="2269" spans="1:21" x14ac:dyDescent="0.3">
      <c r="A2269" t="str">
        <f>"920007168"</f>
        <v>920007168</v>
      </c>
      <c r="B2269" t="str">
        <f>"219 200 235 00543"</f>
        <v>219 200 235 00543</v>
      </c>
      <c r="D2269" t="str">
        <f>"CDS MUNICIPAL AUVERGNE CLAMART"</f>
        <v>CDS MUNICIPAL AUVERGNE CLAMART</v>
      </c>
      <c r="F2269" t="str">
        <f>"7 RUE DE L AUVERGNE"</f>
        <v>7 RUE DE L AUVERGNE</v>
      </c>
      <c r="H2269" t="str">
        <f>"92140"</f>
        <v>92140</v>
      </c>
      <c r="I2269" t="str">
        <f>"CLAMART"</f>
        <v>CLAMART</v>
      </c>
      <c r="J2269" t="str">
        <f>"01 41 36 06 60 "</f>
        <v xml:space="preserve">01 41 36 06 60 </v>
      </c>
      <c r="K2269" t="str">
        <f>"01 41 36 06 68"</f>
        <v>01 41 36 06 68</v>
      </c>
      <c r="L2269" s="1">
        <v>38237</v>
      </c>
      <c r="M2269" t="str">
        <f t="shared" si="358"/>
        <v>124</v>
      </c>
      <c r="N2269" t="str">
        <f t="shared" si="359"/>
        <v>Centre de Santé</v>
      </c>
      <c r="O2269" t="str">
        <f>"03"</f>
        <v>03</v>
      </c>
      <c r="P2269" t="str">
        <f>"Commune"</f>
        <v>Commune</v>
      </c>
      <c r="Q2269" t="str">
        <f t="shared" si="349"/>
        <v>36</v>
      </c>
      <c r="R2269" t="str">
        <f t="shared" si="350"/>
        <v>Tarifs conventionnels assurance maladie</v>
      </c>
      <c r="U2269" t="str">
        <f>"920807633"</f>
        <v>920807633</v>
      </c>
    </row>
    <row r="2270" spans="1:21" x14ac:dyDescent="0.3">
      <c r="A2270" t="str">
        <f>"690791215"</f>
        <v>690791215</v>
      </c>
      <c r="B2270" t="str">
        <f>"477 901 714 00055"</f>
        <v>477 901 714 00055</v>
      </c>
      <c r="D2270" t="str">
        <f>"CENTRE DE SANTE MGEN LYON 3EME"</f>
        <v>CENTRE DE SANTE MGEN LYON 3EME</v>
      </c>
      <c r="F2270" t="str">
        <f>"44 RUE FEUILLAT"</f>
        <v>44 RUE FEUILLAT</v>
      </c>
      <c r="H2270" t="str">
        <f>"69003"</f>
        <v>69003</v>
      </c>
      <c r="I2270" t="str">
        <f>"LYON"</f>
        <v>LYON</v>
      </c>
      <c r="J2270" t="str">
        <f>"04 72 11 30 04 "</f>
        <v xml:space="preserve">04 72 11 30 04 </v>
      </c>
      <c r="K2270" t="str">
        <f>"04 72 33 66 73"</f>
        <v>04 72 33 66 73</v>
      </c>
      <c r="L2270" s="1">
        <v>38231</v>
      </c>
      <c r="M2270" t="str">
        <f t="shared" si="358"/>
        <v>124</v>
      </c>
      <c r="N2270" t="str">
        <f t="shared" si="359"/>
        <v>Centre de Santé</v>
      </c>
      <c r="O2270" t="str">
        <f>"47"</f>
        <v>47</v>
      </c>
      <c r="P2270" t="str">
        <f>"Société Mutualiste"</f>
        <v>Société Mutualiste</v>
      </c>
      <c r="Q2270" t="str">
        <f t="shared" si="349"/>
        <v>36</v>
      </c>
      <c r="R2270" t="str">
        <f t="shared" si="350"/>
        <v>Tarifs conventionnels assurance maladie</v>
      </c>
      <c r="U2270" t="str">
        <f>"750008658"</f>
        <v>750008658</v>
      </c>
    </row>
    <row r="2271" spans="1:21" x14ac:dyDescent="0.3">
      <c r="A2271" t="str">
        <f>"290027408"</f>
        <v>290027408</v>
      </c>
      <c r="B2271" t="str">
        <f>"775 576 549 00247"</f>
        <v>775 576 549 00247</v>
      </c>
      <c r="D2271" t="str">
        <f>"CDS DENTAIRE MUTUALISTE ST RENAN"</f>
        <v>CDS DENTAIRE MUTUALISTE ST RENAN</v>
      </c>
      <c r="F2271" t="str">
        <f>"6 RUE DU PONT DE BOIS"</f>
        <v>6 RUE DU PONT DE BOIS</v>
      </c>
      <c r="H2271" t="str">
        <f>"29290"</f>
        <v>29290</v>
      </c>
      <c r="I2271" t="str">
        <f>"ST RENAN"</f>
        <v>ST RENAN</v>
      </c>
      <c r="J2271" t="str">
        <f>"02 98 32 66 20 "</f>
        <v xml:space="preserve">02 98 32 66 20 </v>
      </c>
      <c r="L2271" s="1">
        <v>38218</v>
      </c>
      <c r="M2271" t="str">
        <f t="shared" si="358"/>
        <v>124</v>
      </c>
      <c r="N2271" t="str">
        <f t="shared" si="359"/>
        <v>Centre de Santé</v>
      </c>
      <c r="O2271" t="str">
        <f>"47"</f>
        <v>47</v>
      </c>
      <c r="P2271" t="str">
        <f>"Société Mutualiste"</f>
        <v>Société Mutualiste</v>
      </c>
      <c r="Q2271" t="str">
        <f t="shared" si="349"/>
        <v>36</v>
      </c>
      <c r="R2271" t="str">
        <f t="shared" si="350"/>
        <v>Tarifs conventionnels assurance maladie</v>
      </c>
      <c r="U2271" t="str">
        <f>"290007574"</f>
        <v>290007574</v>
      </c>
    </row>
    <row r="2272" spans="1:21" x14ac:dyDescent="0.3">
      <c r="A2272" t="str">
        <f>"340786870"</f>
        <v>340786870</v>
      </c>
      <c r="B2272" t="str">
        <f>"444 270 326 00291"</f>
        <v>444 270 326 00291</v>
      </c>
      <c r="D2272" t="str">
        <f>"CDS DENTAIRE MUTUALISTE GANGES"</f>
        <v>CDS DENTAIRE MUTUALISTE GANGES</v>
      </c>
      <c r="E2272" t="str">
        <f>"CLINIQUE SAINT LOUIS"</f>
        <v>CLINIQUE SAINT LOUIS</v>
      </c>
      <c r="F2272" t="str">
        <f>"PLACE JOSEPH BOUDOURESQUES"</f>
        <v>PLACE JOSEPH BOUDOURESQUES</v>
      </c>
      <c r="H2272" t="str">
        <f>"34190"</f>
        <v>34190</v>
      </c>
      <c r="I2272" t="str">
        <f>"GANGES"</f>
        <v>GANGES</v>
      </c>
      <c r="J2272" t="str">
        <f>"04 67 81 68 98 "</f>
        <v xml:space="preserve">04 67 81 68 98 </v>
      </c>
      <c r="L2272" s="1">
        <v>38211</v>
      </c>
      <c r="M2272" t="str">
        <f t="shared" si="358"/>
        <v>124</v>
      </c>
      <c r="N2272" t="str">
        <f t="shared" si="359"/>
        <v>Centre de Santé</v>
      </c>
      <c r="O2272" t="str">
        <f>"47"</f>
        <v>47</v>
      </c>
      <c r="P2272" t="str">
        <f>"Société Mutualiste"</f>
        <v>Société Mutualiste</v>
      </c>
      <c r="Q2272" t="str">
        <f t="shared" si="349"/>
        <v>36</v>
      </c>
      <c r="R2272" t="str">
        <f t="shared" si="350"/>
        <v>Tarifs conventionnels assurance maladie</v>
      </c>
      <c r="U2272" t="str">
        <f>"340028901"</f>
        <v>340028901</v>
      </c>
    </row>
    <row r="2273" spans="1:21" x14ac:dyDescent="0.3">
      <c r="A2273" t="str">
        <f>"380003939"</f>
        <v>380003939</v>
      </c>
      <c r="B2273" t="str">
        <f>"477 615 066 00024"</f>
        <v>477 615 066 00024</v>
      </c>
      <c r="D2273" t="str">
        <f>"CENTRE DE SANTE DE SAINT-HILAIRE"</f>
        <v>CENTRE DE SANTE DE SAINT-HILAIRE</v>
      </c>
      <c r="E2273" t="str">
        <f>"PLATEAU DES PETITES ROCHES"</f>
        <v>PLATEAU DES PETITES ROCHES</v>
      </c>
      <c r="F2273" t="str">
        <f>"82 ROUTE DES TROIS VILLAGES"</f>
        <v>82 ROUTE DES TROIS VILLAGES</v>
      </c>
      <c r="H2273" t="str">
        <f>"38660"</f>
        <v>38660</v>
      </c>
      <c r="I2273" t="str">
        <f>"PLATEAU DES PETITES ROCHES"</f>
        <v>PLATEAU DES PETITES ROCHES</v>
      </c>
      <c r="J2273" t="str">
        <f>"04 76 92 25 71 "</f>
        <v xml:space="preserve">04 76 92 25 71 </v>
      </c>
      <c r="K2273" t="str">
        <f>"04 76 92 25 71"</f>
        <v>04 76 92 25 71</v>
      </c>
      <c r="L2273" s="1">
        <v>38209</v>
      </c>
      <c r="M2273" t="str">
        <f t="shared" si="358"/>
        <v>124</v>
      </c>
      <c r="N2273" t="str">
        <f t="shared" si="359"/>
        <v>Centre de Santé</v>
      </c>
      <c r="O2273" t="str">
        <f>"60"</f>
        <v>60</v>
      </c>
      <c r="P2273" t="str">
        <f>"Association Loi 1901 non Reconnue d'Utilité Publique"</f>
        <v>Association Loi 1901 non Reconnue d'Utilité Publique</v>
      </c>
      <c r="Q2273" t="str">
        <f t="shared" si="349"/>
        <v>36</v>
      </c>
      <c r="R2273" t="str">
        <f t="shared" si="350"/>
        <v>Tarifs conventionnels assurance maladie</v>
      </c>
      <c r="U2273" t="str">
        <f>"380004929"</f>
        <v>380004929</v>
      </c>
    </row>
    <row r="2274" spans="1:21" x14ac:dyDescent="0.3">
      <c r="A2274" t="str">
        <f>"490009289"</f>
        <v>490009289</v>
      </c>
      <c r="B2274" t="str">
        <f>"844 881 417 00852"</f>
        <v>844 881 417 00852</v>
      </c>
      <c r="D2274" t="str">
        <f>"CENTRE DE SANTE DENTAIRE DE SAUMUR"</f>
        <v>CENTRE DE SANTE DENTAIRE DE SAUMUR</v>
      </c>
      <c r="F2274" t="str">
        <f>"PLACE DE L'EUROPE"</f>
        <v>PLACE DE L'EUROPE</v>
      </c>
      <c r="H2274" t="str">
        <f>"49400"</f>
        <v>49400</v>
      </c>
      <c r="I2274" t="str">
        <f>"SAUMUR"</f>
        <v>SAUMUR</v>
      </c>
      <c r="J2274" t="str">
        <f>"02 41 40 38 40 "</f>
        <v xml:space="preserve">02 41 40 38 40 </v>
      </c>
      <c r="K2274" t="str">
        <f>"02 41 40 38 41"</f>
        <v>02 41 40 38 41</v>
      </c>
      <c r="L2274" s="1">
        <v>38139</v>
      </c>
      <c r="M2274" t="str">
        <f t="shared" si="358"/>
        <v>124</v>
      </c>
      <c r="N2274" t="str">
        <f t="shared" si="359"/>
        <v>Centre de Santé</v>
      </c>
      <c r="O2274" t="str">
        <f>"47"</f>
        <v>47</v>
      </c>
      <c r="P2274" t="str">
        <f>"Société Mutualiste"</f>
        <v>Société Mutualiste</v>
      </c>
      <c r="Q2274" t="str">
        <f t="shared" si="349"/>
        <v>36</v>
      </c>
      <c r="R2274" t="str">
        <f t="shared" si="350"/>
        <v>Tarifs conventionnels assurance maladie</v>
      </c>
      <c r="U2274" t="str">
        <f>"850028085"</f>
        <v>850028085</v>
      </c>
    </row>
    <row r="2275" spans="1:21" x14ac:dyDescent="0.3">
      <c r="A2275" t="str">
        <f>"590785580"</f>
        <v>590785580</v>
      </c>
      <c r="B2275" t="str">
        <f>"340 411 362 00064"</f>
        <v>340 411 362 00064</v>
      </c>
      <c r="D2275" t="str">
        <f>"CENTRE DE SOINS INFIRMIERS"</f>
        <v>CENTRE DE SOINS INFIRMIERS</v>
      </c>
      <c r="F2275" t="str">
        <f>"71 RUE JEAN JAURÈS"</f>
        <v>71 RUE JEAN JAURÈS</v>
      </c>
      <c r="H2275" t="str">
        <f>"59610"</f>
        <v>59610</v>
      </c>
      <c r="I2275" t="str">
        <f>"FOURMIES"</f>
        <v>FOURMIES</v>
      </c>
      <c r="J2275" t="str">
        <f>"03 27 60 04 55 "</f>
        <v xml:space="preserve">03 27 60 04 55 </v>
      </c>
      <c r="L2275" s="1">
        <v>38139</v>
      </c>
      <c r="M2275" t="str">
        <f t="shared" si="358"/>
        <v>124</v>
      </c>
      <c r="N2275" t="str">
        <f t="shared" si="359"/>
        <v>Centre de Santé</v>
      </c>
      <c r="O2275" t="str">
        <f>"60"</f>
        <v>60</v>
      </c>
      <c r="P2275" t="str">
        <f>"Association Loi 1901 non Reconnue d'Utilité Publique"</f>
        <v>Association Loi 1901 non Reconnue d'Utilité Publique</v>
      </c>
      <c r="Q2275" t="str">
        <f t="shared" si="349"/>
        <v>36</v>
      </c>
      <c r="R2275" t="str">
        <f t="shared" si="350"/>
        <v>Tarifs conventionnels assurance maladie</v>
      </c>
      <c r="U2275" t="str">
        <f>"590001566"</f>
        <v>590001566</v>
      </c>
    </row>
    <row r="2276" spans="1:21" x14ac:dyDescent="0.3">
      <c r="A2276" t="str">
        <f>"660005034"</f>
        <v>660005034</v>
      </c>
      <c r="B2276" t="str">
        <f>"444 270 326 00234"</f>
        <v>444 270 326 00234</v>
      </c>
      <c r="D2276" t="str">
        <f>"CDS DENTAIRE MUTUALISTE PERPIGNAN JUIN"</f>
        <v>CDS DENTAIRE MUTUALISTE PERPIGNAN JUIN</v>
      </c>
      <c r="F2276" t="str">
        <f>"16 AVENUE MARECHAL JUIN"</f>
        <v>16 AVENUE MARECHAL JUIN</v>
      </c>
      <c r="H2276" t="str">
        <f>"66100"</f>
        <v>66100</v>
      </c>
      <c r="I2276" t="str">
        <f>"PERPIGNAN"</f>
        <v>PERPIGNAN</v>
      </c>
      <c r="J2276" t="str">
        <f>"04 68 68 58 00 "</f>
        <v xml:space="preserve">04 68 68 58 00 </v>
      </c>
      <c r="K2276" t="str">
        <f>"04 68 68 58 01"</f>
        <v>04 68 68 58 01</v>
      </c>
      <c r="L2276" s="1">
        <v>38111</v>
      </c>
      <c r="M2276" t="str">
        <f t="shared" si="358"/>
        <v>124</v>
      </c>
      <c r="N2276" t="str">
        <f t="shared" si="359"/>
        <v>Centre de Santé</v>
      </c>
      <c r="O2276" t="str">
        <f>"47"</f>
        <v>47</v>
      </c>
      <c r="P2276" t="str">
        <f>"Société Mutualiste"</f>
        <v>Société Mutualiste</v>
      </c>
      <c r="Q2276" t="str">
        <f t="shared" ref="Q2276:Q2339" si="363">"36"</f>
        <v>36</v>
      </c>
      <c r="R2276" t="str">
        <f t="shared" ref="R2276:R2339" si="364">"Tarifs conventionnels assurance maladie"</f>
        <v>Tarifs conventionnels assurance maladie</v>
      </c>
      <c r="U2276" t="str">
        <f>"340028901"</f>
        <v>340028901</v>
      </c>
    </row>
    <row r="2277" spans="1:21" x14ac:dyDescent="0.3">
      <c r="A2277" t="str">
        <f>"680000593"</f>
        <v>680000593</v>
      </c>
      <c r="B2277" t="str">
        <f>"314 989 229 00047"</f>
        <v>314 989 229 00047</v>
      </c>
      <c r="D2277" t="str">
        <f>"CENTRE DE SOINS INF COLMAR"</f>
        <v>CENTRE DE SOINS INF COLMAR</v>
      </c>
      <c r="E2277" t="str">
        <f>"BATIMENT A"</f>
        <v>BATIMENT A</v>
      </c>
      <c r="F2277" t="str">
        <f>"43 RUE DU LADHOF"</f>
        <v>43 RUE DU LADHOF</v>
      </c>
      <c r="H2277" t="str">
        <f>"68000"</f>
        <v>68000</v>
      </c>
      <c r="I2277" t="str">
        <f>"COLMAR"</f>
        <v>COLMAR</v>
      </c>
      <c r="J2277" t="str">
        <f>"03 89 24 59 98 "</f>
        <v xml:space="preserve">03 89 24 59 98 </v>
      </c>
      <c r="L2277" s="1">
        <v>38108</v>
      </c>
      <c r="M2277" t="str">
        <f t="shared" si="358"/>
        <v>124</v>
      </c>
      <c r="N2277" t="str">
        <f t="shared" si="359"/>
        <v>Centre de Santé</v>
      </c>
      <c r="O2277" t="str">
        <f>"62"</f>
        <v>62</v>
      </c>
      <c r="P2277" t="str">
        <f>"Association de Droit Local"</f>
        <v>Association de Droit Local</v>
      </c>
      <c r="Q2277" t="str">
        <f t="shared" si="363"/>
        <v>36</v>
      </c>
      <c r="R2277" t="str">
        <f t="shared" si="364"/>
        <v>Tarifs conventionnels assurance maladie</v>
      </c>
      <c r="U2277" t="str">
        <f>"680000668"</f>
        <v>680000668</v>
      </c>
    </row>
    <row r="2278" spans="1:21" x14ac:dyDescent="0.3">
      <c r="A2278" t="str">
        <f>"750015679"</f>
        <v>750015679</v>
      </c>
      <c r="B2278" t="str">
        <f>"323 841 353 00952"</f>
        <v>323 841 353 00952</v>
      </c>
      <c r="D2278" t="str">
        <f>"CDS DENTAIRE DE PARIS"</f>
        <v>CDS DENTAIRE DE PARIS</v>
      </c>
      <c r="F2278" t="str">
        <f>"17 RUE JULES VERNE"</f>
        <v>17 RUE JULES VERNE</v>
      </c>
      <c r="H2278" t="str">
        <f>"75011"</f>
        <v>75011</v>
      </c>
      <c r="I2278" t="str">
        <f>"PARIS"</f>
        <v>PARIS</v>
      </c>
      <c r="J2278" t="str">
        <f>"01 53 41 70 10 "</f>
        <v xml:space="preserve">01 53 41 70 10 </v>
      </c>
      <c r="L2278" s="1">
        <v>38107</v>
      </c>
      <c r="M2278" t="str">
        <f t="shared" si="358"/>
        <v>124</v>
      </c>
      <c r="N2278" t="str">
        <f t="shared" si="359"/>
        <v>Centre de Santé</v>
      </c>
      <c r="O2278" t="str">
        <f>"40"</f>
        <v>40</v>
      </c>
      <c r="P2278" t="str">
        <f>"Régime Général de Sécurité Sociale"</f>
        <v>Régime Général de Sécurité Sociale</v>
      </c>
      <c r="Q2278" t="str">
        <f t="shared" si="363"/>
        <v>36</v>
      </c>
      <c r="R2278" t="str">
        <f t="shared" si="364"/>
        <v>Tarifs conventionnels assurance maladie</v>
      </c>
      <c r="U2278" t="str">
        <f>"750720856"</f>
        <v>750720856</v>
      </c>
    </row>
    <row r="2279" spans="1:21" x14ac:dyDescent="0.3">
      <c r="A2279" t="str">
        <f>"390003028"</f>
        <v>390003028</v>
      </c>
      <c r="B2279" t="str">
        <f>"775 597 487 00435"</f>
        <v>775 597 487 00435</v>
      </c>
      <c r="D2279" t="str">
        <f>"CENTRE SANTE DENTAIRE MUTUAL ST CLAUDE"</f>
        <v>CENTRE SANTE DENTAIRE MUTUAL ST CLAUDE</v>
      </c>
      <c r="F2279" t="str">
        <f>"42 RUE DU COLLEGE"</f>
        <v>42 RUE DU COLLEGE</v>
      </c>
      <c r="H2279" t="str">
        <f>"39200"</f>
        <v>39200</v>
      </c>
      <c r="I2279" t="str">
        <f>"ST CLAUDE"</f>
        <v>ST CLAUDE</v>
      </c>
      <c r="J2279" t="str">
        <f>"03 84 38 10 24 "</f>
        <v xml:space="preserve">03 84 38 10 24 </v>
      </c>
      <c r="K2279" t="str">
        <f>"03 84 45 33 20"</f>
        <v>03 84 45 33 20</v>
      </c>
      <c r="L2279" s="1">
        <v>38072</v>
      </c>
      <c r="M2279" t="str">
        <f t="shared" si="358"/>
        <v>124</v>
      </c>
      <c r="N2279" t="str">
        <f t="shared" si="359"/>
        <v>Centre de Santé</v>
      </c>
      <c r="O2279" t="str">
        <f>"47"</f>
        <v>47</v>
      </c>
      <c r="P2279" t="str">
        <f>"Société Mutualiste"</f>
        <v>Société Mutualiste</v>
      </c>
      <c r="Q2279" t="str">
        <f t="shared" si="363"/>
        <v>36</v>
      </c>
      <c r="R2279" t="str">
        <f t="shared" si="364"/>
        <v>Tarifs conventionnels assurance maladie</v>
      </c>
      <c r="U2279" t="str">
        <f>"390784007"</f>
        <v>390784007</v>
      </c>
    </row>
    <row r="2280" spans="1:21" x14ac:dyDescent="0.3">
      <c r="A2280" t="str">
        <f>"570019539"</f>
        <v>570019539</v>
      </c>
      <c r="B2280" t="str">
        <f>"775 685 316 03466"</f>
        <v>775 685 316 03466</v>
      </c>
      <c r="D2280" t="str">
        <f>"CSP FILIERIS DE OTTANGE"</f>
        <v>CSP FILIERIS DE OTTANGE</v>
      </c>
      <c r="F2280" t="str">
        <f>"21 RUE L'USINE"</f>
        <v>21 RUE L'USINE</v>
      </c>
      <c r="H2280" t="str">
        <f>"57840"</f>
        <v>57840</v>
      </c>
      <c r="I2280" t="str">
        <f>"OTTANGE"</f>
        <v>OTTANGE</v>
      </c>
      <c r="J2280" t="str">
        <f>"03 82 50 33 68 "</f>
        <v xml:space="preserve">03 82 50 33 68 </v>
      </c>
      <c r="L2280" s="1">
        <v>38022</v>
      </c>
      <c r="M2280" t="str">
        <f t="shared" si="358"/>
        <v>124</v>
      </c>
      <c r="N2280" t="str">
        <f t="shared" si="359"/>
        <v>Centre de Santé</v>
      </c>
      <c r="O2280" t="str">
        <f>"41"</f>
        <v>41</v>
      </c>
      <c r="P2280" t="str">
        <f>"Régime Spécial de Sécurité Sociale"</f>
        <v>Régime Spécial de Sécurité Sociale</v>
      </c>
      <c r="Q2280" t="str">
        <f t="shared" si="363"/>
        <v>36</v>
      </c>
      <c r="R2280" t="str">
        <f t="shared" si="364"/>
        <v>Tarifs conventionnels assurance maladie</v>
      </c>
      <c r="U2280" t="str">
        <f>"750050759"</f>
        <v>750050759</v>
      </c>
    </row>
    <row r="2281" spans="1:21" x14ac:dyDescent="0.3">
      <c r="A2281" t="str">
        <f>"570019588"</f>
        <v>570019588</v>
      </c>
      <c r="B2281" t="str">
        <f>"775 685 316 03557"</f>
        <v>775 685 316 03557</v>
      </c>
      <c r="D2281" t="str">
        <f>"CSP FILIERIS DE STE MARIE AUX CHENES"</f>
        <v>CSP FILIERIS DE STE MARIE AUX CHENES</v>
      </c>
      <c r="F2281" t="str">
        <f>"16 RUE DES ANEMONES"</f>
        <v>16 RUE DES ANEMONES</v>
      </c>
      <c r="H2281" t="str">
        <f>"57255"</f>
        <v>57255</v>
      </c>
      <c r="I2281" t="str">
        <f>"STE MARIE AUX CHENES"</f>
        <v>STE MARIE AUX CHENES</v>
      </c>
      <c r="J2281" t="str">
        <f>"03 87 61 90 34 "</f>
        <v xml:space="preserve">03 87 61 90 34 </v>
      </c>
      <c r="L2281" s="1">
        <v>38022</v>
      </c>
      <c r="M2281" t="str">
        <f t="shared" si="358"/>
        <v>124</v>
      </c>
      <c r="N2281" t="str">
        <f t="shared" si="359"/>
        <v>Centre de Santé</v>
      </c>
      <c r="O2281" t="str">
        <f>"41"</f>
        <v>41</v>
      </c>
      <c r="P2281" t="str">
        <f>"Régime Spécial de Sécurité Sociale"</f>
        <v>Régime Spécial de Sécurité Sociale</v>
      </c>
      <c r="Q2281" t="str">
        <f t="shared" si="363"/>
        <v>36</v>
      </c>
      <c r="R2281" t="str">
        <f t="shared" si="364"/>
        <v>Tarifs conventionnels assurance maladie</v>
      </c>
      <c r="U2281" t="str">
        <f>"750050759"</f>
        <v>750050759</v>
      </c>
    </row>
    <row r="2282" spans="1:21" x14ac:dyDescent="0.3">
      <c r="A2282" t="str">
        <f>"600009724"</f>
        <v>600009724</v>
      </c>
      <c r="B2282" t="str">
        <f>"444 283 832 00012"</f>
        <v>444 283 832 00012</v>
      </c>
      <c r="D2282" t="str">
        <f>"CS MGOS BEAUVAIS"</f>
        <v>CS MGOS BEAUVAIS</v>
      </c>
      <c r="F2282" t="str">
        <f>"25 RUE DESGROUX"</f>
        <v>25 RUE DESGROUX</v>
      </c>
      <c r="H2282" t="str">
        <f>"60000"</f>
        <v>60000</v>
      </c>
      <c r="I2282" t="str">
        <f>"BEAUVAIS"</f>
        <v>BEAUVAIS</v>
      </c>
      <c r="J2282" t="str">
        <f>"03 44 15 54 29 "</f>
        <v xml:space="preserve">03 44 15 54 29 </v>
      </c>
      <c r="K2282" t="str">
        <f>"03 44 15 54 30"</f>
        <v>03 44 15 54 30</v>
      </c>
      <c r="L2282" s="1">
        <v>37998</v>
      </c>
      <c r="M2282" t="str">
        <f t="shared" si="358"/>
        <v>124</v>
      </c>
      <c r="N2282" t="str">
        <f t="shared" si="359"/>
        <v>Centre de Santé</v>
      </c>
      <c r="O2282" t="str">
        <f>"47"</f>
        <v>47</v>
      </c>
      <c r="P2282" t="str">
        <f>"Société Mutualiste"</f>
        <v>Société Mutualiste</v>
      </c>
      <c r="Q2282" t="str">
        <f t="shared" si="363"/>
        <v>36</v>
      </c>
      <c r="R2282" t="str">
        <f t="shared" si="364"/>
        <v>Tarifs conventionnels assurance maladie</v>
      </c>
      <c r="U2282" t="str">
        <f>"600009716"</f>
        <v>600009716</v>
      </c>
    </row>
    <row r="2283" spans="1:21" x14ac:dyDescent="0.3">
      <c r="A2283" t="str">
        <f>"380005439"</f>
        <v>380005439</v>
      </c>
      <c r="D2283" t="str">
        <f>"CENTRE SANTE ET SOMMEIL"</f>
        <v>CENTRE SANTE ET SOMMEIL</v>
      </c>
      <c r="F2283" t="str">
        <f>"75 AVENUE GABRIEL PERI"</f>
        <v>75 AVENUE GABRIEL PERI</v>
      </c>
      <c r="H2283" t="str">
        <f>"38400"</f>
        <v>38400</v>
      </c>
      <c r="I2283" t="str">
        <f>"ST MARTIN D HERES"</f>
        <v>ST MARTIN D HERES</v>
      </c>
      <c r="J2283" t="str">
        <f>"04 38 70 17 76 "</f>
        <v xml:space="preserve">04 38 70 17 76 </v>
      </c>
      <c r="K2283" t="str">
        <f>"04 76 09 14 03"</f>
        <v>04 76 09 14 03</v>
      </c>
      <c r="L2283" s="1">
        <v>37987</v>
      </c>
      <c r="M2283" t="str">
        <f t="shared" si="358"/>
        <v>124</v>
      </c>
      <c r="N2283" t="str">
        <f t="shared" si="359"/>
        <v>Centre de Santé</v>
      </c>
      <c r="O2283" t="str">
        <f>"60"</f>
        <v>60</v>
      </c>
      <c r="P2283" t="str">
        <f>"Association Loi 1901 non Reconnue d'Utilité Publique"</f>
        <v>Association Loi 1901 non Reconnue d'Utilité Publique</v>
      </c>
      <c r="Q2283" t="str">
        <f t="shared" si="363"/>
        <v>36</v>
      </c>
      <c r="R2283" t="str">
        <f t="shared" si="364"/>
        <v>Tarifs conventionnels assurance maladie</v>
      </c>
      <c r="U2283" t="str">
        <f>"380005389"</f>
        <v>380005389</v>
      </c>
    </row>
    <row r="2284" spans="1:21" x14ac:dyDescent="0.3">
      <c r="A2284" t="str">
        <f>"740785290"</f>
        <v>740785290</v>
      </c>
      <c r="B2284" t="str">
        <f>"775 654 478 00426"</f>
        <v>775 654 478 00426</v>
      </c>
      <c r="D2284" t="str">
        <f>"CENTRE DE SANTE UMFMB THONON-LES-BAINS"</f>
        <v>CENTRE DE SANTE UMFMB THONON-LES-BAINS</v>
      </c>
      <c r="F2284" t="str">
        <f>"8 AVENUE DU GENERAL DE GAULLE"</f>
        <v>8 AVENUE DU GENERAL DE GAULLE</v>
      </c>
      <c r="H2284" t="str">
        <f>"74200"</f>
        <v>74200</v>
      </c>
      <c r="I2284" t="str">
        <f>"THONON LES BAINS"</f>
        <v>THONON LES BAINS</v>
      </c>
      <c r="J2284" t="str">
        <f>"04 50 26 64 40 "</f>
        <v xml:space="preserve">04 50 26 64 40 </v>
      </c>
      <c r="K2284" t="str">
        <f>"04 50 70 27 87"</f>
        <v>04 50 70 27 87</v>
      </c>
      <c r="L2284" s="1">
        <v>37956</v>
      </c>
      <c r="M2284" t="str">
        <f t="shared" si="358"/>
        <v>124</v>
      </c>
      <c r="N2284" t="str">
        <f t="shared" si="359"/>
        <v>Centre de Santé</v>
      </c>
      <c r="O2284" t="str">
        <f>"47"</f>
        <v>47</v>
      </c>
      <c r="P2284" t="str">
        <f>"Société Mutualiste"</f>
        <v>Société Mutualiste</v>
      </c>
      <c r="Q2284" t="str">
        <f t="shared" si="363"/>
        <v>36</v>
      </c>
      <c r="R2284" t="str">
        <f t="shared" si="364"/>
        <v>Tarifs conventionnels assurance maladie</v>
      </c>
      <c r="U2284" t="str">
        <f>"740787791"</f>
        <v>740787791</v>
      </c>
    </row>
    <row r="2285" spans="1:21" x14ac:dyDescent="0.3">
      <c r="A2285" t="str">
        <f>"210003109"</f>
        <v>210003109</v>
      </c>
      <c r="B2285" t="str">
        <f>"778 208 058 00090"</f>
        <v>778 208 058 00090</v>
      </c>
      <c r="D2285" t="str">
        <f>"CENTRE DE SANTE - SDAT"</f>
        <v>CENTRE DE SANTE - SDAT</v>
      </c>
      <c r="E2285" t="str">
        <f>"10 BIS RUE DR EDOUARD LAGUESSE"</f>
        <v>10 BIS RUE DR EDOUARD LAGUESSE</v>
      </c>
      <c r="F2285" t="str">
        <f>"10 RUE DR. EDOUARD LAGUESSE"</f>
        <v>10 RUE DR. EDOUARD LAGUESSE</v>
      </c>
      <c r="H2285" t="str">
        <f>"21000"</f>
        <v>21000</v>
      </c>
      <c r="I2285" t="str">
        <f>"DIJON"</f>
        <v>DIJON</v>
      </c>
      <c r="L2285" s="1">
        <v>37950</v>
      </c>
      <c r="M2285" t="str">
        <f t="shared" si="358"/>
        <v>124</v>
      </c>
      <c r="N2285" t="str">
        <f t="shared" si="359"/>
        <v>Centre de Santé</v>
      </c>
      <c r="O2285" t="str">
        <f>"61"</f>
        <v>61</v>
      </c>
      <c r="P2285" t="str">
        <f>"Association Loi 1901 Reconnue d'Utilité Publique"</f>
        <v>Association Loi 1901 Reconnue d'Utilité Publique</v>
      </c>
      <c r="Q2285" t="str">
        <f t="shared" si="363"/>
        <v>36</v>
      </c>
      <c r="R2285" t="str">
        <f t="shared" si="364"/>
        <v>Tarifs conventionnels assurance maladie</v>
      </c>
      <c r="U2285" t="str">
        <f>"210000519"</f>
        <v>210000519</v>
      </c>
    </row>
    <row r="2286" spans="1:21" x14ac:dyDescent="0.3">
      <c r="A2286" t="str">
        <f>"160006201"</f>
        <v>160006201</v>
      </c>
      <c r="B2286" t="str">
        <f>"781 172 358 00033"</f>
        <v>781 172 358 00033</v>
      </c>
      <c r="D2286" t="str">
        <f>"CENTRE DE SANTE - CPAM 16"</f>
        <v>CENTRE DE SANTE - CPAM 16</v>
      </c>
      <c r="F2286" t="str">
        <f>"30 BOULEVARD DE BURY"</f>
        <v>30 BOULEVARD DE BURY</v>
      </c>
      <c r="H2286" t="str">
        <f>"16000"</f>
        <v>16000</v>
      </c>
      <c r="I2286" t="str">
        <f>"ANGOULEME"</f>
        <v>ANGOULEME</v>
      </c>
      <c r="J2286" t="str">
        <f>"05 45 38 98 33 "</f>
        <v xml:space="preserve">05 45 38 98 33 </v>
      </c>
      <c r="K2286" t="str">
        <f>"05 45 94 53 66"</f>
        <v>05 45 94 53 66</v>
      </c>
      <c r="L2286" s="1">
        <v>37930</v>
      </c>
      <c r="M2286" t="str">
        <f t="shared" si="358"/>
        <v>124</v>
      </c>
      <c r="N2286" t="str">
        <f t="shared" si="359"/>
        <v>Centre de Santé</v>
      </c>
      <c r="O2286" t="str">
        <f>"40"</f>
        <v>40</v>
      </c>
      <c r="P2286" t="str">
        <f>"Régime Général de Sécurité Sociale"</f>
        <v>Régime Général de Sécurité Sociale</v>
      </c>
      <c r="Q2286" t="str">
        <f t="shared" si="363"/>
        <v>36</v>
      </c>
      <c r="R2286" t="str">
        <f t="shared" si="364"/>
        <v>Tarifs conventionnels assurance maladie</v>
      </c>
      <c r="U2286" t="str">
        <f>"160006870"</f>
        <v>160006870</v>
      </c>
    </row>
    <row r="2287" spans="1:21" x14ac:dyDescent="0.3">
      <c r="A2287" t="str">
        <f>"290025378"</f>
        <v>290025378</v>
      </c>
      <c r="B2287" t="str">
        <f>"319 294 971 00043"</f>
        <v>319 294 971 00043</v>
      </c>
      <c r="D2287" t="str">
        <f>"CDS INFIRMIER DE BELLEVUE"</f>
        <v>CDS INFIRMIER DE BELLEVUE</v>
      </c>
      <c r="F2287" t="str">
        <f>"18 AVENUE DE TARENTE"</f>
        <v>18 AVENUE DE TARENTE</v>
      </c>
      <c r="H2287" t="str">
        <f>"29200"</f>
        <v>29200</v>
      </c>
      <c r="I2287" t="str">
        <f>"BREST"</f>
        <v>BREST</v>
      </c>
      <c r="J2287" t="str">
        <f>"02 98 01 12 98 "</f>
        <v xml:space="preserve">02 98 01 12 98 </v>
      </c>
      <c r="L2287" s="1">
        <v>37900</v>
      </c>
      <c r="M2287" t="str">
        <f t="shared" si="358"/>
        <v>124</v>
      </c>
      <c r="N2287" t="str">
        <f t="shared" si="359"/>
        <v>Centre de Santé</v>
      </c>
      <c r="O2287" t="str">
        <f>"60"</f>
        <v>60</v>
      </c>
      <c r="P2287" t="str">
        <f>"Association Loi 1901 non Reconnue d'Utilité Publique"</f>
        <v>Association Loi 1901 non Reconnue d'Utilité Publique</v>
      </c>
      <c r="Q2287" t="str">
        <f t="shared" si="363"/>
        <v>36</v>
      </c>
      <c r="R2287" t="str">
        <f t="shared" si="364"/>
        <v>Tarifs conventionnels assurance maladie</v>
      </c>
      <c r="U2287" t="str">
        <f>"290001338"</f>
        <v>290001338</v>
      </c>
    </row>
    <row r="2288" spans="1:21" x14ac:dyDescent="0.3">
      <c r="A2288" t="str">
        <f>"380787762"</f>
        <v>380787762</v>
      </c>
      <c r="B2288" t="str">
        <f>"382 077 097 00097"</f>
        <v>382 077 097 00097</v>
      </c>
      <c r="D2288" t="str">
        <f>"CENTRE DE SANTE AGECSA MISTRAL"</f>
        <v>CENTRE DE SANTE AGECSA MISTRAL</v>
      </c>
      <c r="F2288" t="str">
        <f>"69 AVENUE RHIN ET DANUBE"</f>
        <v>69 AVENUE RHIN ET DANUBE</v>
      </c>
      <c r="H2288" t="str">
        <f>"38100"</f>
        <v>38100</v>
      </c>
      <c r="I2288" t="str">
        <f>"GRENOBLE"</f>
        <v>GRENOBLE</v>
      </c>
      <c r="J2288" t="str">
        <f>"04 76 21 40 41 "</f>
        <v xml:space="preserve">04 76 21 40 41 </v>
      </c>
      <c r="K2288" t="str">
        <f>"04 76 84 62 27"</f>
        <v>04 76 84 62 27</v>
      </c>
      <c r="L2288" s="1">
        <v>37865</v>
      </c>
      <c r="M2288" t="str">
        <f t="shared" si="358"/>
        <v>124</v>
      </c>
      <c r="N2288" t="str">
        <f t="shared" si="359"/>
        <v>Centre de Santé</v>
      </c>
      <c r="O2288" t="str">
        <f>"60"</f>
        <v>60</v>
      </c>
      <c r="P2288" t="str">
        <f>"Association Loi 1901 non Reconnue d'Utilité Publique"</f>
        <v>Association Loi 1901 non Reconnue d'Utilité Publique</v>
      </c>
      <c r="Q2288" t="str">
        <f t="shared" si="363"/>
        <v>36</v>
      </c>
      <c r="R2288" t="str">
        <f t="shared" si="364"/>
        <v>Tarifs conventionnels assurance maladie</v>
      </c>
      <c r="U2288" t="str">
        <f>"380792010"</f>
        <v>380792010</v>
      </c>
    </row>
    <row r="2289" spans="1:21" x14ac:dyDescent="0.3">
      <c r="A2289" t="str">
        <f>"410001598"</f>
        <v>410001598</v>
      </c>
      <c r="B2289" t="str">
        <f>"775 347 891 01223"</f>
        <v>775 347 891 01223</v>
      </c>
      <c r="D2289" t="str">
        <f>"CENTRE DE SANTE DENTAIRE"</f>
        <v>CENTRE DE SANTE DENTAIRE</v>
      </c>
      <c r="F2289" t="str">
        <f>"1 RUE CHARLES PEGUY"</f>
        <v>1 RUE CHARLES PEGUY</v>
      </c>
      <c r="H2289" t="str">
        <f>"41100"</f>
        <v>41100</v>
      </c>
      <c r="I2289" t="str">
        <f>"VENDOME"</f>
        <v>VENDOME</v>
      </c>
      <c r="J2289" t="str">
        <f>"02 54 80 03 90 "</f>
        <v xml:space="preserve">02 54 80 03 90 </v>
      </c>
      <c r="K2289" t="str">
        <f>"02 54 80 27 27"</f>
        <v>02 54 80 27 27</v>
      </c>
      <c r="L2289" s="1">
        <v>37865</v>
      </c>
      <c r="M2289" t="str">
        <f t="shared" si="358"/>
        <v>124</v>
      </c>
      <c r="N2289" t="str">
        <f t="shared" si="359"/>
        <v>Centre de Santé</v>
      </c>
      <c r="O2289" t="str">
        <f>"47"</f>
        <v>47</v>
      </c>
      <c r="P2289" t="str">
        <f>"Société Mutualiste"</f>
        <v>Société Mutualiste</v>
      </c>
      <c r="Q2289" t="str">
        <f t="shared" si="363"/>
        <v>36</v>
      </c>
      <c r="R2289" t="str">
        <f t="shared" si="364"/>
        <v>Tarifs conventionnels assurance maladie</v>
      </c>
      <c r="U2289" t="str">
        <f>"370100935"</f>
        <v>370100935</v>
      </c>
    </row>
    <row r="2290" spans="1:21" x14ac:dyDescent="0.3">
      <c r="A2290" t="str">
        <f>"690029558"</f>
        <v>690029558</v>
      </c>
      <c r="B2290" t="str">
        <f>"326 922 879 00084"</f>
        <v>326 922 879 00084</v>
      </c>
      <c r="D2290" t="str">
        <f>"CENTRE DE SANTE ESSOR FORUM REFUGIES"</f>
        <v>CENTRE DE SANTE ESSOR FORUM REFUGIES</v>
      </c>
      <c r="F2290" t="str">
        <f>"158 RUE DU 4 AOUT 1789"</f>
        <v>158 RUE DU 4 AOUT 1789</v>
      </c>
      <c r="G2290" t="str">
        <f>"BP 71054"</f>
        <v>BP 71054</v>
      </c>
      <c r="H2290" t="str">
        <f>"69612"</f>
        <v>69612</v>
      </c>
      <c r="I2290" t="str">
        <f>"VILLEURBANNE CEDEX"</f>
        <v>VILLEURBANNE CEDEX</v>
      </c>
      <c r="J2290" t="str">
        <f>"04 27 11 80 52 "</f>
        <v xml:space="preserve">04 27 11 80 52 </v>
      </c>
      <c r="K2290" t="str">
        <f>"04 78 03 28 74"</f>
        <v>04 78 03 28 74</v>
      </c>
      <c r="L2290" s="1">
        <v>37865</v>
      </c>
      <c r="M2290" t="str">
        <f t="shared" si="358"/>
        <v>124</v>
      </c>
      <c r="N2290" t="str">
        <f t="shared" si="359"/>
        <v>Centre de Santé</v>
      </c>
      <c r="O2290" t="str">
        <f>"60"</f>
        <v>60</v>
      </c>
      <c r="P2290" t="str">
        <f>"Association Loi 1901 non Reconnue d'Utilité Publique"</f>
        <v>Association Loi 1901 non Reconnue d'Utilité Publique</v>
      </c>
      <c r="Q2290" t="str">
        <f t="shared" si="363"/>
        <v>36</v>
      </c>
      <c r="R2290" t="str">
        <f t="shared" si="364"/>
        <v>Tarifs conventionnels assurance maladie</v>
      </c>
      <c r="U2290" t="str">
        <f>"690791678"</f>
        <v>690791678</v>
      </c>
    </row>
    <row r="2291" spans="1:21" x14ac:dyDescent="0.3">
      <c r="A2291" t="str">
        <f>"680008968"</f>
        <v>680008968</v>
      </c>
      <c r="B2291" t="str">
        <f>"434 111 126 00141"</f>
        <v>434 111 126 00141</v>
      </c>
      <c r="D2291" t="str">
        <f>"CENTRE DE SANTE DENTAIRE"</f>
        <v>CENTRE DE SANTE DENTAIRE</v>
      </c>
      <c r="F2291" t="str">
        <f>"8 AVENUE DU GENERAL DE GAULLE"</f>
        <v>8 AVENUE DU GENERAL DE GAULLE</v>
      </c>
      <c r="H2291" t="str">
        <f>"68300"</f>
        <v>68300</v>
      </c>
      <c r="I2291" t="str">
        <f>"ST LOUIS"</f>
        <v>ST LOUIS</v>
      </c>
      <c r="J2291" t="str">
        <f>"03 89 91 00 00 "</f>
        <v xml:space="preserve">03 89 91 00 00 </v>
      </c>
      <c r="K2291" t="str">
        <f>"03 89 91 00 01"</f>
        <v>03 89 91 00 01</v>
      </c>
      <c r="L2291" s="1">
        <v>37852</v>
      </c>
      <c r="M2291" t="str">
        <f t="shared" si="358"/>
        <v>124</v>
      </c>
      <c r="N2291" t="str">
        <f t="shared" si="359"/>
        <v>Centre de Santé</v>
      </c>
      <c r="O2291" t="str">
        <f>"47"</f>
        <v>47</v>
      </c>
      <c r="P2291" t="str">
        <f>"Société Mutualiste"</f>
        <v>Société Mutualiste</v>
      </c>
      <c r="Q2291" t="str">
        <f t="shared" si="363"/>
        <v>36</v>
      </c>
      <c r="R2291" t="str">
        <f t="shared" si="364"/>
        <v>Tarifs conventionnels assurance maladie</v>
      </c>
      <c r="U2291" t="str">
        <f>"670010339"</f>
        <v>670010339</v>
      </c>
    </row>
    <row r="2292" spans="1:21" x14ac:dyDescent="0.3">
      <c r="A2292" t="str">
        <f>"690023536"</f>
        <v>690023536</v>
      </c>
      <c r="B2292" t="str">
        <f>"408 061 554 00049"</f>
        <v>408 061 554 00049</v>
      </c>
      <c r="D2292" t="str">
        <f>"CENTRE DE SANTE SAINT-PRIEST"</f>
        <v>CENTRE DE SANTE SAINT-PRIEST</v>
      </c>
      <c r="F2292" t="str">
        <f>"5 RUE BEL AIR"</f>
        <v>5 RUE BEL AIR</v>
      </c>
      <c r="H2292" t="str">
        <f>"69800"</f>
        <v>69800</v>
      </c>
      <c r="I2292" t="str">
        <f>"ST PRIEST"</f>
        <v>ST PRIEST</v>
      </c>
      <c r="J2292" t="str">
        <f>"04 78 20 90 98 "</f>
        <v xml:space="preserve">04 78 20 90 98 </v>
      </c>
      <c r="K2292" t="str">
        <f>"04 78 20 90 95"</f>
        <v>04 78 20 90 95</v>
      </c>
      <c r="L2292" s="1">
        <v>37834</v>
      </c>
      <c r="M2292" t="str">
        <f t="shared" si="358"/>
        <v>124</v>
      </c>
      <c r="N2292" t="str">
        <f t="shared" si="359"/>
        <v>Centre de Santé</v>
      </c>
      <c r="O2292" t="str">
        <f>"60"</f>
        <v>60</v>
      </c>
      <c r="P2292" t="str">
        <f>"Association Loi 1901 non Reconnue d'Utilité Publique"</f>
        <v>Association Loi 1901 non Reconnue d'Utilité Publique</v>
      </c>
      <c r="Q2292" t="str">
        <f t="shared" si="363"/>
        <v>36</v>
      </c>
      <c r="R2292" t="str">
        <f t="shared" si="364"/>
        <v>Tarifs conventionnels assurance maladie</v>
      </c>
      <c r="U2292" t="str">
        <f>"690006812"</f>
        <v>690006812</v>
      </c>
    </row>
    <row r="2293" spans="1:21" x14ac:dyDescent="0.3">
      <c r="A2293" t="str">
        <f>"920006418"</f>
        <v>920006418</v>
      </c>
      <c r="B2293" t="str">
        <f>"269 200 465 00038"</f>
        <v>269 200 465 00038</v>
      </c>
      <c r="D2293" t="str">
        <f>"CDS MEDICO SPORTIF JOLIOT CURIE"</f>
        <v>CDS MEDICO SPORTIF JOLIOT CURIE</v>
      </c>
      <c r="E2293" t="str">
        <f>"PALAIS DES SPORTS MAURICE THOREZ"</f>
        <v>PALAIS DES SPORTS MAURICE THOREZ</v>
      </c>
      <c r="F2293" t="str">
        <f>"136 AVENUE JOLIOT CURIE"</f>
        <v>136 AVENUE JOLIOT CURIE</v>
      </c>
      <c r="H2293" t="str">
        <f>"92000"</f>
        <v>92000</v>
      </c>
      <c r="I2293" t="str">
        <f>"NANTERRE"</f>
        <v>NANTERRE</v>
      </c>
      <c r="J2293" t="str">
        <f>"01 41 37 44 52 "</f>
        <v xml:space="preserve">01 41 37 44 52 </v>
      </c>
      <c r="K2293" t="str">
        <f>"01 41 37 19 50"</f>
        <v>01 41 37 19 50</v>
      </c>
      <c r="L2293" s="1">
        <v>37803</v>
      </c>
      <c r="M2293" t="str">
        <f t="shared" si="358"/>
        <v>124</v>
      </c>
      <c r="N2293" t="str">
        <f t="shared" si="359"/>
        <v>Centre de Santé</v>
      </c>
      <c r="O2293" t="str">
        <f>"17"</f>
        <v>17</v>
      </c>
      <c r="P2293" t="str">
        <f>"Centre Communal d'Action Sociale"</f>
        <v>Centre Communal d'Action Sociale</v>
      </c>
      <c r="Q2293" t="str">
        <f t="shared" si="363"/>
        <v>36</v>
      </c>
      <c r="R2293" t="str">
        <f t="shared" si="364"/>
        <v>Tarifs conventionnels assurance maladie</v>
      </c>
      <c r="U2293" t="str">
        <f>"920807773"</f>
        <v>920807773</v>
      </c>
    </row>
    <row r="2294" spans="1:21" x14ac:dyDescent="0.3">
      <c r="A2294" t="str">
        <f>"300003548"</f>
        <v>300003548</v>
      </c>
      <c r="D2294" t="str">
        <f>"CDS DENTAIRE UGOSMUT NIMES"</f>
        <v>CDS DENTAIRE UGOSMUT NIMES</v>
      </c>
      <c r="F2294" t="str">
        <f>"490 RUE ANDRÉ MARQUES"</f>
        <v>490 RUE ANDRÉ MARQUES</v>
      </c>
      <c r="H2294" t="str">
        <f>"30000"</f>
        <v>30000</v>
      </c>
      <c r="I2294" t="str">
        <f>"NIMES"</f>
        <v>NIMES</v>
      </c>
      <c r="J2294" t="str">
        <f>"04 66 26 19 74 "</f>
        <v xml:space="preserve">04 66 26 19 74 </v>
      </c>
      <c r="K2294" t="str">
        <f>"04 66 21 73 02"</f>
        <v>04 66 21 73 02</v>
      </c>
      <c r="L2294" s="1">
        <v>37789</v>
      </c>
      <c r="M2294" t="str">
        <f t="shared" si="358"/>
        <v>124</v>
      </c>
      <c r="N2294" t="str">
        <f t="shared" si="359"/>
        <v>Centre de Santé</v>
      </c>
      <c r="O2294" t="str">
        <f>"47"</f>
        <v>47</v>
      </c>
      <c r="P2294" t="str">
        <f>"Société Mutualiste"</f>
        <v>Société Mutualiste</v>
      </c>
      <c r="Q2294" t="str">
        <f t="shared" si="363"/>
        <v>36</v>
      </c>
      <c r="R2294" t="str">
        <f t="shared" si="364"/>
        <v>Tarifs conventionnels assurance maladie</v>
      </c>
      <c r="U2294" t="str">
        <f>"690048111"</f>
        <v>690048111</v>
      </c>
    </row>
    <row r="2295" spans="1:21" x14ac:dyDescent="0.3">
      <c r="A2295" t="str">
        <f>"160004578"</f>
        <v>160004578</v>
      </c>
      <c r="B2295" t="str">
        <f>"781 166 285 00283"</f>
        <v>781 166 285 00283</v>
      </c>
      <c r="D2295" t="str">
        <f>"CENTRE DE SANTE - MUT 16"</f>
        <v>CENTRE DE SANTE - MUT 16</v>
      </c>
      <c r="F2295" t="str">
        <f>"4 CHEMIN DE FREGENEUIL"</f>
        <v>4 CHEMIN DE FREGENEUIL</v>
      </c>
      <c r="H2295" t="str">
        <f>"16800"</f>
        <v>16800</v>
      </c>
      <c r="I2295" t="str">
        <f>"SOYAUX"</f>
        <v>SOYAUX</v>
      </c>
      <c r="J2295" t="str">
        <f>"05 45 20 56 20 "</f>
        <v xml:space="preserve">05 45 20 56 20 </v>
      </c>
      <c r="K2295" t="str">
        <f>"05 45 20 56 21"</f>
        <v>05 45 20 56 21</v>
      </c>
      <c r="L2295" s="1">
        <v>37773</v>
      </c>
      <c r="M2295" t="str">
        <f t="shared" si="358"/>
        <v>124</v>
      </c>
      <c r="N2295" t="str">
        <f t="shared" si="359"/>
        <v>Centre de Santé</v>
      </c>
      <c r="O2295" t="str">
        <f>"47"</f>
        <v>47</v>
      </c>
      <c r="P2295" t="str">
        <f>"Société Mutualiste"</f>
        <v>Société Mutualiste</v>
      </c>
      <c r="Q2295" t="str">
        <f t="shared" si="363"/>
        <v>36</v>
      </c>
      <c r="R2295" t="str">
        <f t="shared" si="364"/>
        <v>Tarifs conventionnels assurance maladie</v>
      </c>
      <c r="U2295" t="str">
        <f>"160009908"</f>
        <v>160009908</v>
      </c>
    </row>
    <row r="2296" spans="1:21" x14ac:dyDescent="0.3">
      <c r="A2296" t="str">
        <f>"760782789"</f>
        <v>760782789</v>
      </c>
      <c r="B2296" t="str">
        <f>"781 061 122 00128"</f>
        <v>781 061 122 00128</v>
      </c>
      <c r="D2296" t="str">
        <f>"CSI GEORGES ANCEL LE HAVRE"</f>
        <v>CSI GEORGES ANCEL LE HAVRE</v>
      </c>
      <c r="F2296" t="str">
        <f>"48 RUE EUGENE BOUDIN"</f>
        <v>48 RUE EUGENE BOUDIN</v>
      </c>
      <c r="H2296" t="str">
        <f>"76610"</f>
        <v>76610</v>
      </c>
      <c r="I2296" t="str">
        <f>"LE HAVRE"</f>
        <v>LE HAVRE</v>
      </c>
      <c r="J2296" t="str">
        <f>"02 35 47 26 35 "</f>
        <v xml:space="preserve">02 35 47 26 35 </v>
      </c>
      <c r="K2296" t="str">
        <f>"02 35 47 09 28"</f>
        <v>02 35 47 09 28</v>
      </c>
      <c r="L2296" s="1">
        <v>37773</v>
      </c>
      <c r="M2296" t="str">
        <f t="shared" si="358"/>
        <v>124</v>
      </c>
      <c r="N2296" t="str">
        <f t="shared" si="359"/>
        <v>Centre de Santé</v>
      </c>
      <c r="O2296" t="str">
        <f>"61"</f>
        <v>61</v>
      </c>
      <c r="P2296" t="str">
        <f>"Association Loi 1901 Reconnue d'Utilité Publique"</f>
        <v>Association Loi 1901 Reconnue d'Utilité Publique</v>
      </c>
      <c r="Q2296" t="str">
        <f t="shared" si="363"/>
        <v>36</v>
      </c>
      <c r="R2296" t="str">
        <f t="shared" si="364"/>
        <v>Tarifs conventionnels assurance maladie</v>
      </c>
      <c r="U2296" t="str">
        <f>"760804401"</f>
        <v>760804401</v>
      </c>
    </row>
    <row r="2297" spans="1:21" x14ac:dyDescent="0.3">
      <c r="A2297" t="str">
        <f>"670004928"</f>
        <v>670004928</v>
      </c>
      <c r="B2297" t="str">
        <f>"778 735 217 00276"</f>
        <v>778 735 217 00276</v>
      </c>
      <c r="D2297" t="str">
        <f>"CENTRE DE SANTE MEDICAL DU SONNENHOF"</f>
        <v>CENTRE DE SANTE MEDICAL DU SONNENHOF</v>
      </c>
      <c r="E2297" t="str">
        <f>"VILLA KLEIN"</f>
        <v>VILLA KLEIN</v>
      </c>
      <c r="F2297" t="str">
        <f>"22 ROUTE D'OBERHOFFEN"</f>
        <v>22 ROUTE D'OBERHOFFEN</v>
      </c>
      <c r="G2297" t="str">
        <f>"CS 80041"</f>
        <v>CS 80041</v>
      </c>
      <c r="H2297" t="str">
        <f>"67242"</f>
        <v>67242</v>
      </c>
      <c r="I2297" t="str">
        <f>"BISCHWILLER CEDEX"</f>
        <v>BISCHWILLER CEDEX</v>
      </c>
      <c r="L2297" s="1">
        <v>37722</v>
      </c>
      <c r="M2297" t="str">
        <f t="shared" si="358"/>
        <v>124</v>
      </c>
      <c r="N2297" t="str">
        <f t="shared" si="359"/>
        <v>Centre de Santé</v>
      </c>
      <c r="O2297" t="str">
        <f>"63"</f>
        <v>63</v>
      </c>
      <c r="P2297" t="str">
        <f>"Fondation"</f>
        <v>Fondation</v>
      </c>
      <c r="Q2297" t="str">
        <f t="shared" si="363"/>
        <v>36</v>
      </c>
      <c r="R2297" t="str">
        <f t="shared" si="364"/>
        <v>Tarifs conventionnels assurance maladie</v>
      </c>
      <c r="U2297" t="str">
        <f>"670000223"</f>
        <v>670000223</v>
      </c>
    </row>
    <row r="2298" spans="1:21" x14ac:dyDescent="0.3">
      <c r="A2298" t="str">
        <f>"180001208"</f>
        <v>180001208</v>
      </c>
      <c r="B2298" t="str">
        <f>"775 347 891 01090"</f>
        <v>775 347 891 01090</v>
      </c>
      <c r="D2298" t="str">
        <f>"CABINET DENTAIRE MUTUALISTE"</f>
        <v>CABINET DENTAIRE MUTUALISTE</v>
      </c>
      <c r="F2298" t="str">
        <f>"29 RUE NATIONALE"</f>
        <v>29 RUE NATIONALE</v>
      </c>
      <c r="H2298" t="str">
        <f>"18200"</f>
        <v>18200</v>
      </c>
      <c r="I2298" t="str">
        <f>"ST AMAND MONTROND"</f>
        <v>ST AMAND MONTROND</v>
      </c>
      <c r="J2298" t="str">
        <f>"02 48 60 00 63 "</f>
        <v xml:space="preserve">02 48 60 00 63 </v>
      </c>
      <c r="K2298" t="str">
        <f>"02 48 69 08 49"</f>
        <v>02 48 69 08 49</v>
      </c>
      <c r="L2298" s="1">
        <v>37712</v>
      </c>
      <c r="M2298" t="str">
        <f t="shared" si="358"/>
        <v>124</v>
      </c>
      <c r="N2298" t="str">
        <f t="shared" si="359"/>
        <v>Centre de Santé</v>
      </c>
      <c r="O2298" t="str">
        <f>"47"</f>
        <v>47</v>
      </c>
      <c r="P2298" t="str">
        <f>"Société Mutualiste"</f>
        <v>Société Mutualiste</v>
      </c>
      <c r="Q2298" t="str">
        <f t="shared" si="363"/>
        <v>36</v>
      </c>
      <c r="R2298" t="str">
        <f t="shared" si="364"/>
        <v>Tarifs conventionnels assurance maladie</v>
      </c>
      <c r="U2298" t="str">
        <f>"370100935"</f>
        <v>370100935</v>
      </c>
    </row>
    <row r="2299" spans="1:21" x14ac:dyDescent="0.3">
      <c r="A2299" t="str">
        <f>"420003519"</f>
        <v>420003519</v>
      </c>
      <c r="B2299" t="str">
        <f>"775 602 436 00385"</f>
        <v>775 602 436 00385</v>
      </c>
      <c r="D2299" t="str">
        <f>"CENTRE DE SANTE MFL SSAM BELLEVUE"</f>
        <v>CENTRE DE SANTE MFL SSAM BELLEVUE</v>
      </c>
      <c r="F2299" t="str">
        <f>"3 RUE LE VERRIER"</f>
        <v>3 RUE LE VERRIER</v>
      </c>
      <c r="H2299" t="str">
        <f>"42000"</f>
        <v>42000</v>
      </c>
      <c r="I2299" t="str">
        <f>"ST ETIENNE"</f>
        <v>ST ETIENNE</v>
      </c>
      <c r="J2299" t="str">
        <f>"04 77 47 63 29 "</f>
        <v xml:space="preserve">04 77 47 63 29 </v>
      </c>
      <c r="K2299" t="str">
        <f>"04 77 47 63 69"</f>
        <v>04 77 47 63 69</v>
      </c>
      <c r="L2299" s="1">
        <v>37712</v>
      </c>
      <c r="M2299" t="str">
        <f t="shared" si="358"/>
        <v>124</v>
      </c>
      <c r="N2299" t="str">
        <f t="shared" si="359"/>
        <v>Centre de Santé</v>
      </c>
      <c r="O2299" t="str">
        <f>"47"</f>
        <v>47</v>
      </c>
      <c r="P2299" t="str">
        <f>"Société Mutualiste"</f>
        <v>Société Mutualiste</v>
      </c>
      <c r="Q2299" t="str">
        <f t="shared" si="363"/>
        <v>36</v>
      </c>
      <c r="R2299" t="str">
        <f t="shared" si="364"/>
        <v>Tarifs conventionnels assurance maladie</v>
      </c>
      <c r="U2299" t="str">
        <f>"420787061"</f>
        <v>420787061</v>
      </c>
    </row>
    <row r="2300" spans="1:21" x14ac:dyDescent="0.3">
      <c r="A2300" t="str">
        <f>"060003969"</f>
        <v>060003969</v>
      </c>
      <c r="B2300" t="str">
        <f>"385 134 150 00015"</f>
        <v>385 134 150 00015</v>
      </c>
      <c r="D2300" t="str">
        <f>"CENTRE MEDICO SPORTIF DE NICE"</f>
        <v>CENTRE MEDICO SPORTIF DE NICE</v>
      </c>
      <c r="F2300" t="str">
        <f>"155 BOULEVARD DU MERCANTOUR"</f>
        <v>155 BOULEVARD DU MERCANTOUR</v>
      </c>
      <c r="H2300" t="str">
        <f>"06200"</f>
        <v>06200</v>
      </c>
      <c r="I2300" t="str">
        <f>"NICE"</f>
        <v>NICE</v>
      </c>
      <c r="J2300" t="str">
        <f>"04 93 18 08 98 "</f>
        <v xml:space="preserve">04 93 18 08 98 </v>
      </c>
      <c r="K2300" t="str">
        <f>"04 93 83 06 30"</f>
        <v>04 93 83 06 30</v>
      </c>
      <c r="L2300" s="1">
        <v>37648</v>
      </c>
      <c r="M2300" t="str">
        <f t="shared" si="358"/>
        <v>124</v>
      </c>
      <c r="N2300" t="str">
        <f t="shared" si="359"/>
        <v>Centre de Santé</v>
      </c>
      <c r="O2300" t="str">
        <f>"60"</f>
        <v>60</v>
      </c>
      <c r="P2300" t="str">
        <f>"Association Loi 1901 non Reconnue d'Utilité Publique"</f>
        <v>Association Loi 1901 non Reconnue d'Utilité Publique</v>
      </c>
      <c r="Q2300" t="str">
        <f t="shared" si="363"/>
        <v>36</v>
      </c>
      <c r="R2300" t="str">
        <f t="shared" si="364"/>
        <v>Tarifs conventionnels assurance maladie</v>
      </c>
      <c r="U2300" t="str">
        <f>"060003928"</f>
        <v>060003928</v>
      </c>
    </row>
    <row r="2301" spans="1:21" x14ac:dyDescent="0.3">
      <c r="A2301" t="str">
        <f>"010788826"</f>
        <v>010788826</v>
      </c>
      <c r="B2301" t="str">
        <f>"444 299 887 00075"</f>
        <v>444 299 887 00075</v>
      </c>
      <c r="D2301" t="str">
        <f>"CENTRE DE SANTE MFASSAM BOURG-EN-BRESS"</f>
        <v>CENTRE DE SANTE MFASSAM BOURG-EN-BRESS</v>
      </c>
      <c r="F2301" t="str">
        <f>"56 RUE BOURGMAYER"</f>
        <v>56 RUE BOURGMAYER</v>
      </c>
      <c r="H2301" t="str">
        <f>"01000"</f>
        <v>01000</v>
      </c>
      <c r="I2301" t="str">
        <f>"BOURG EN BRESSE"</f>
        <v>BOURG EN BRESSE</v>
      </c>
      <c r="J2301" t="str">
        <f>"04 74 32 37 37 "</f>
        <v xml:space="preserve">04 74 32 37 37 </v>
      </c>
      <c r="K2301" t="str">
        <f>"04 74 32 37 34"</f>
        <v>04 74 32 37 34</v>
      </c>
      <c r="L2301" s="1">
        <v>37622</v>
      </c>
      <c r="M2301" t="str">
        <f t="shared" si="358"/>
        <v>124</v>
      </c>
      <c r="N2301" t="str">
        <f t="shared" si="359"/>
        <v>Centre de Santé</v>
      </c>
      <c r="O2301" t="str">
        <f t="shared" ref="O2301:O2306" si="365">"47"</f>
        <v>47</v>
      </c>
      <c r="P2301" t="str">
        <f t="shared" ref="P2301:P2306" si="366">"Société Mutualiste"</f>
        <v>Société Mutualiste</v>
      </c>
      <c r="Q2301" t="str">
        <f t="shared" si="363"/>
        <v>36</v>
      </c>
      <c r="R2301" t="str">
        <f t="shared" si="364"/>
        <v>Tarifs conventionnels assurance maladie</v>
      </c>
      <c r="U2301" t="str">
        <f>"010787109"</f>
        <v>010787109</v>
      </c>
    </row>
    <row r="2302" spans="1:21" x14ac:dyDescent="0.3">
      <c r="A2302" t="str">
        <f>"010789410"</f>
        <v>010789410</v>
      </c>
      <c r="B2302" t="str">
        <f>"444 299 887 00091"</f>
        <v>444 299 887 00091</v>
      </c>
      <c r="D2302" t="str">
        <f>"CENTRE DE SANTE MFASSAM OYONNAX"</f>
        <v>CENTRE DE SANTE MFASSAM OYONNAX</v>
      </c>
      <c r="F2302" t="str">
        <f>"8 RUE LAPLANCHE"</f>
        <v>8 RUE LAPLANCHE</v>
      </c>
      <c r="H2302" t="str">
        <f>"01100"</f>
        <v>01100</v>
      </c>
      <c r="I2302" t="str">
        <f>"OYONNAX"</f>
        <v>OYONNAX</v>
      </c>
      <c r="J2302" t="str">
        <f>"04 74 73 52 97 "</f>
        <v xml:space="preserve">04 74 73 52 97 </v>
      </c>
      <c r="K2302" t="str">
        <f>"04 74 73 00 52"</f>
        <v>04 74 73 00 52</v>
      </c>
      <c r="L2302" s="1">
        <v>37622</v>
      </c>
      <c r="M2302" t="str">
        <f t="shared" si="358"/>
        <v>124</v>
      </c>
      <c r="N2302" t="str">
        <f t="shared" si="359"/>
        <v>Centre de Santé</v>
      </c>
      <c r="O2302" t="str">
        <f t="shared" si="365"/>
        <v>47</v>
      </c>
      <c r="P2302" t="str">
        <f t="shared" si="366"/>
        <v>Société Mutualiste</v>
      </c>
      <c r="Q2302" t="str">
        <f t="shared" si="363"/>
        <v>36</v>
      </c>
      <c r="R2302" t="str">
        <f t="shared" si="364"/>
        <v>Tarifs conventionnels assurance maladie</v>
      </c>
      <c r="U2302" t="str">
        <f>"010787109"</f>
        <v>010787109</v>
      </c>
    </row>
    <row r="2303" spans="1:21" x14ac:dyDescent="0.3">
      <c r="A2303" t="str">
        <f>"010789428"</f>
        <v>010789428</v>
      </c>
      <c r="B2303" t="str">
        <f>"444 299 887 00083"</f>
        <v>444 299 887 00083</v>
      </c>
      <c r="D2303" t="str">
        <f>"CENTRE DE SANTE MFASSAM MONTLUEL"</f>
        <v>CENTRE DE SANTE MFASSAM MONTLUEL</v>
      </c>
      <c r="F2303" t="str">
        <f>"450 FAUBOURG DE LYON"</f>
        <v>450 FAUBOURG DE LYON</v>
      </c>
      <c r="H2303" t="str">
        <f>"01120"</f>
        <v>01120</v>
      </c>
      <c r="I2303" t="str">
        <f>"MONTLUEL"</f>
        <v>MONTLUEL</v>
      </c>
      <c r="J2303" t="str">
        <f>"04 78 06 24 12 "</f>
        <v xml:space="preserve">04 78 06 24 12 </v>
      </c>
      <c r="K2303" t="str">
        <f>"04 78 06 33 25"</f>
        <v>04 78 06 33 25</v>
      </c>
      <c r="L2303" s="1">
        <v>37622</v>
      </c>
      <c r="M2303" t="str">
        <f t="shared" si="358"/>
        <v>124</v>
      </c>
      <c r="N2303" t="str">
        <f t="shared" si="359"/>
        <v>Centre de Santé</v>
      </c>
      <c r="O2303" t="str">
        <f t="shared" si="365"/>
        <v>47</v>
      </c>
      <c r="P2303" t="str">
        <f t="shared" si="366"/>
        <v>Société Mutualiste</v>
      </c>
      <c r="Q2303" t="str">
        <f t="shared" si="363"/>
        <v>36</v>
      </c>
      <c r="R2303" t="str">
        <f t="shared" si="364"/>
        <v>Tarifs conventionnels assurance maladie</v>
      </c>
      <c r="U2303" t="str">
        <f>"010787109"</f>
        <v>010787109</v>
      </c>
    </row>
    <row r="2304" spans="1:21" x14ac:dyDescent="0.3">
      <c r="A2304" t="str">
        <f>"420002743"</f>
        <v>420002743</v>
      </c>
      <c r="B2304" t="str">
        <f>"775 602 436 00930"</f>
        <v>775 602 436 00930</v>
      </c>
      <c r="D2304" t="str">
        <f>"CENTRE DE SANTE DENTAIRE MFL HTE-LOIRE"</f>
        <v>CENTRE DE SANTE DENTAIRE MFL HTE-LOIRE</v>
      </c>
      <c r="F2304" t="str">
        <f>"19 RUE BENOIT MALON"</f>
        <v>19 RUE BENOIT MALON</v>
      </c>
      <c r="H2304" t="str">
        <f>"42300"</f>
        <v>42300</v>
      </c>
      <c r="I2304" t="str">
        <f>"ROANNE"</f>
        <v>ROANNE</v>
      </c>
      <c r="J2304" t="str">
        <f>"04 77 68 99 33 "</f>
        <v xml:space="preserve">04 77 68 99 33 </v>
      </c>
      <c r="L2304" s="1">
        <v>37622</v>
      </c>
      <c r="M2304" t="str">
        <f t="shared" si="358"/>
        <v>124</v>
      </c>
      <c r="N2304" t="str">
        <f t="shared" si="359"/>
        <v>Centre de Santé</v>
      </c>
      <c r="O2304" t="str">
        <f t="shared" si="365"/>
        <v>47</v>
      </c>
      <c r="P2304" t="str">
        <f t="shared" si="366"/>
        <v>Société Mutualiste</v>
      </c>
      <c r="Q2304" t="str">
        <f t="shared" si="363"/>
        <v>36</v>
      </c>
      <c r="R2304" t="str">
        <f t="shared" si="364"/>
        <v>Tarifs conventionnels assurance maladie</v>
      </c>
      <c r="U2304" t="str">
        <f>"420787061"</f>
        <v>420787061</v>
      </c>
    </row>
    <row r="2305" spans="1:21" x14ac:dyDescent="0.3">
      <c r="A2305" t="str">
        <f>"420786857"</f>
        <v>420786857</v>
      </c>
      <c r="B2305" t="str">
        <f>"326 406 998 00160"</f>
        <v>326 406 998 00160</v>
      </c>
      <c r="D2305" t="str">
        <f>"CENTRE DE SANTE MFL BOEN"</f>
        <v>CENTRE DE SANTE MFL BOEN</v>
      </c>
      <c r="F2305" t="str">
        <f>"44 RUE DE LA CHAUX"</f>
        <v>44 RUE DE LA CHAUX</v>
      </c>
      <c r="H2305" t="str">
        <f>"42130"</f>
        <v>42130</v>
      </c>
      <c r="I2305" t="str">
        <f>"BOEN SUR LIGNON"</f>
        <v>BOEN SUR LIGNON</v>
      </c>
      <c r="J2305" t="str">
        <f>"04 77 97 37 37 "</f>
        <v xml:space="preserve">04 77 97 37 37 </v>
      </c>
      <c r="K2305" t="str">
        <f>"04 77 24 39 11"</f>
        <v>04 77 24 39 11</v>
      </c>
      <c r="L2305" s="1">
        <v>37622</v>
      </c>
      <c r="M2305" t="str">
        <f t="shared" si="358"/>
        <v>124</v>
      </c>
      <c r="N2305" t="str">
        <f t="shared" si="359"/>
        <v>Centre de Santé</v>
      </c>
      <c r="O2305" t="str">
        <f t="shared" si="365"/>
        <v>47</v>
      </c>
      <c r="P2305" t="str">
        <f t="shared" si="366"/>
        <v>Société Mutualiste</v>
      </c>
      <c r="Q2305" t="str">
        <f t="shared" si="363"/>
        <v>36</v>
      </c>
      <c r="R2305" t="str">
        <f t="shared" si="364"/>
        <v>Tarifs conventionnels assurance maladie</v>
      </c>
      <c r="U2305" t="str">
        <f>"420001596"</f>
        <v>420001596</v>
      </c>
    </row>
    <row r="2306" spans="1:21" x14ac:dyDescent="0.3">
      <c r="A2306" t="str">
        <f>"730009503"</f>
        <v>730009503</v>
      </c>
      <c r="D2306" t="str">
        <f>"CENTRE DE SANTE UMFMB CHALLES-LES-EAUX"</f>
        <v>CENTRE DE SANTE UMFMB CHALLES-LES-EAUX</v>
      </c>
      <c r="F2306" t="str">
        <f>"37 AVENUE DES MASSETTES"</f>
        <v>37 AVENUE DES MASSETTES</v>
      </c>
      <c r="H2306" t="str">
        <f>"73190"</f>
        <v>73190</v>
      </c>
      <c r="I2306" t="str">
        <f>"CHALLES LES EAUX"</f>
        <v>CHALLES LES EAUX</v>
      </c>
      <c r="J2306" t="str">
        <f>"04 79 71 33 66 "</f>
        <v xml:space="preserve">04 79 71 33 66 </v>
      </c>
      <c r="K2306" t="str">
        <f>"04 79 71 08 40"</f>
        <v>04 79 71 08 40</v>
      </c>
      <c r="L2306" s="1">
        <v>37622</v>
      </c>
      <c r="M2306" t="str">
        <f t="shared" ref="M2306:M2369" si="367">"124"</f>
        <v>124</v>
      </c>
      <c r="N2306" t="str">
        <f t="shared" ref="N2306:N2369" si="368">"Centre de Santé"</f>
        <v>Centre de Santé</v>
      </c>
      <c r="O2306" t="str">
        <f t="shared" si="365"/>
        <v>47</v>
      </c>
      <c r="P2306" t="str">
        <f t="shared" si="366"/>
        <v>Société Mutualiste</v>
      </c>
      <c r="Q2306" t="str">
        <f t="shared" si="363"/>
        <v>36</v>
      </c>
      <c r="R2306" t="str">
        <f t="shared" si="364"/>
        <v>Tarifs conventionnels assurance maladie</v>
      </c>
      <c r="U2306" t="str">
        <f>"740787791"</f>
        <v>740787791</v>
      </c>
    </row>
    <row r="2307" spans="1:21" x14ac:dyDescent="0.3">
      <c r="A2307" t="str">
        <f>"380001149"</f>
        <v>380001149</v>
      </c>
      <c r="B2307" t="str">
        <f>"444 487 995 00011"</f>
        <v>444 487 995 00011</v>
      </c>
      <c r="D2307" t="str">
        <f>"CENTRE DE SANTE LANS EN VERCORS"</f>
        <v>CENTRE DE SANTE LANS EN VERCORS</v>
      </c>
      <c r="F2307" t="str">
        <f>"77 ROUTE DE SAINT-DONAT"</f>
        <v>77 ROUTE DE SAINT-DONAT</v>
      </c>
      <c r="H2307" t="str">
        <f>"38250"</f>
        <v>38250</v>
      </c>
      <c r="I2307" t="str">
        <f>"LANS EN VERCORS"</f>
        <v>LANS EN VERCORS</v>
      </c>
      <c r="J2307" t="str">
        <f>"04 76 94 32 02 "</f>
        <v xml:space="preserve">04 76 94 32 02 </v>
      </c>
      <c r="K2307" t="str">
        <f>"04 76 94 32 02"</f>
        <v>04 76 94 32 02</v>
      </c>
      <c r="L2307" s="1">
        <v>37591</v>
      </c>
      <c r="M2307" t="str">
        <f t="shared" si="367"/>
        <v>124</v>
      </c>
      <c r="N2307" t="str">
        <f t="shared" si="368"/>
        <v>Centre de Santé</v>
      </c>
      <c r="O2307" t="str">
        <f>"60"</f>
        <v>60</v>
      </c>
      <c r="P2307" t="str">
        <f>"Association Loi 1901 non Reconnue d'Utilité Publique"</f>
        <v>Association Loi 1901 non Reconnue d'Utilité Publique</v>
      </c>
      <c r="Q2307" t="str">
        <f t="shared" si="363"/>
        <v>36</v>
      </c>
      <c r="R2307" t="str">
        <f t="shared" si="364"/>
        <v>Tarifs conventionnels assurance maladie</v>
      </c>
      <c r="U2307" t="str">
        <f>"380001099"</f>
        <v>380001099</v>
      </c>
    </row>
    <row r="2308" spans="1:21" x14ac:dyDescent="0.3">
      <c r="A2308" t="str">
        <f>"730009693"</f>
        <v>730009693</v>
      </c>
      <c r="B2308" t="str">
        <f>"775 761 844 01682"</f>
        <v>775 761 844 01682</v>
      </c>
      <c r="D2308" t="str">
        <f>"CENTRE DE SANTE OXANCE CHAMBERY"</f>
        <v>CENTRE DE SANTE OXANCE CHAMBERY</v>
      </c>
      <c r="F2308" t="str">
        <f>"61 RUE SOMMEILLER"</f>
        <v>61 RUE SOMMEILLER</v>
      </c>
      <c r="H2308" t="str">
        <f>"73000"</f>
        <v>73000</v>
      </c>
      <c r="I2308" t="str">
        <f>"CHAMBERY"</f>
        <v>CHAMBERY</v>
      </c>
      <c r="J2308" t="str">
        <f>"04 79 68 62 65 "</f>
        <v xml:space="preserve">04 79 68 62 65 </v>
      </c>
      <c r="K2308" t="str">
        <f>"04 79 68 22 22"</f>
        <v>04 79 68 22 22</v>
      </c>
      <c r="L2308" s="1">
        <v>37591</v>
      </c>
      <c r="M2308" t="str">
        <f t="shared" si="367"/>
        <v>124</v>
      </c>
      <c r="N2308" t="str">
        <f t="shared" si="368"/>
        <v>Centre de Santé</v>
      </c>
      <c r="O2308" t="str">
        <f>"47"</f>
        <v>47</v>
      </c>
      <c r="P2308" t="str">
        <f>"Société Mutualiste"</f>
        <v>Société Mutualiste</v>
      </c>
      <c r="Q2308" t="str">
        <f t="shared" si="363"/>
        <v>36</v>
      </c>
      <c r="R2308" t="str">
        <f t="shared" si="364"/>
        <v>Tarifs conventionnels assurance maladie</v>
      </c>
      <c r="U2308" t="str">
        <f>"690048111"</f>
        <v>690048111</v>
      </c>
    </row>
    <row r="2309" spans="1:21" x14ac:dyDescent="0.3">
      <c r="A2309" t="str">
        <f>"760011569"</f>
        <v>760011569</v>
      </c>
      <c r="B2309" t="str">
        <f>"440 923 431 00025"</f>
        <v>440 923 431 00025</v>
      </c>
      <c r="D2309" t="str">
        <f>"PLAN. FAMILIAL 76 CTRE SANTE SEXUELLE"</f>
        <v>PLAN. FAMILIAL 76 CTRE SANTE SEXUELLE</v>
      </c>
      <c r="F2309" t="str">
        <f>"41 RUE D'ELBEUF"</f>
        <v>41 RUE D'ELBEUF</v>
      </c>
      <c r="H2309" t="str">
        <f>"76100"</f>
        <v>76100</v>
      </c>
      <c r="I2309" t="str">
        <f>"ROUEN"</f>
        <v>ROUEN</v>
      </c>
      <c r="J2309" t="str">
        <f>"02 35 73 28 23 "</f>
        <v xml:space="preserve">02 35 73 28 23 </v>
      </c>
      <c r="L2309" s="1">
        <v>37551</v>
      </c>
      <c r="M2309" t="str">
        <f t="shared" si="367"/>
        <v>124</v>
      </c>
      <c r="N2309" t="str">
        <f t="shared" si="368"/>
        <v>Centre de Santé</v>
      </c>
      <c r="O2309" t="str">
        <f>"60"</f>
        <v>60</v>
      </c>
      <c r="P2309" t="str">
        <f>"Association Loi 1901 non Reconnue d'Utilité Publique"</f>
        <v>Association Loi 1901 non Reconnue d'Utilité Publique</v>
      </c>
      <c r="Q2309" t="str">
        <f t="shared" si="363"/>
        <v>36</v>
      </c>
      <c r="R2309" t="str">
        <f t="shared" si="364"/>
        <v>Tarifs conventionnels assurance maladie</v>
      </c>
      <c r="U2309" t="str">
        <f>"760011528"</f>
        <v>760011528</v>
      </c>
    </row>
    <row r="2310" spans="1:21" x14ac:dyDescent="0.3">
      <c r="A2310" t="str">
        <f>"760011668"</f>
        <v>760011668</v>
      </c>
      <c r="B2310" t="str">
        <f>"381 007 608 00031"</f>
        <v>381 007 608 00031</v>
      </c>
      <c r="D2310" t="str">
        <f>"INSTITUT REGIONAL DE MEDECINE DU SPORT"</f>
        <v>INSTITUT REGIONAL DE MEDECINE DU SPORT</v>
      </c>
      <c r="F2310" t="str">
        <f>"113 RUE HERBEUSE"</f>
        <v>113 RUE HERBEUSE</v>
      </c>
      <c r="H2310" t="str">
        <f>"76230"</f>
        <v>76230</v>
      </c>
      <c r="I2310" t="str">
        <f>"BOIS GUILLAUME"</f>
        <v>BOIS GUILLAUME</v>
      </c>
      <c r="J2310" t="str">
        <f>"02 78 77 53 63 "</f>
        <v xml:space="preserve">02 78 77 53 63 </v>
      </c>
      <c r="L2310" s="1">
        <v>37551</v>
      </c>
      <c r="M2310" t="str">
        <f t="shared" si="367"/>
        <v>124</v>
      </c>
      <c r="N2310" t="str">
        <f t="shared" si="368"/>
        <v>Centre de Santé</v>
      </c>
      <c r="O2310" t="str">
        <f>"60"</f>
        <v>60</v>
      </c>
      <c r="P2310" t="str">
        <f>"Association Loi 1901 non Reconnue d'Utilité Publique"</f>
        <v>Association Loi 1901 non Reconnue d'Utilité Publique</v>
      </c>
      <c r="Q2310" t="str">
        <f t="shared" si="363"/>
        <v>36</v>
      </c>
      <c r="R2310" t="str">
        <f t="shared" si="364"/>
        <v>Tarifs conventionnels assurance maladie</v>
      </c>
      <c r="U2310" t="str">
        <f>"760011619"</f>
        <v>760011619</v>
      </c>
    </row>
    <row r="2311" spans="1:21" x14ac:dyDescent="0.3">
      <c r="A2311" t="str">
        <f>"330023888"</f>
        <v>330023888</v>
      </c>
      <c r="B2311" t="str">
        <f>"775 584 972 00431"</f>
        <v>775 584 972 00431</v>
      </c>
      <c r="D2311" t="str">
        <f>"CENTRE DE SANTE DENTAIRE MUTUALISTE"</f>
        <v>CENTRE DE SANTE DENTAIRE MUTUALISTE</v>
      </c>
      <c r="F2311" t="str">
        <f>"32 RUE DES MACONS"</f>
        <v>32 RUE DES MACONS</v>
      </c>
      <c r="H2311" t="str">
        <f>"33390"</f>
        <v>33390</v>
      </c>
      <c r="I2311" t="str">
        <f>"BLAYE"</f>
        <v>BLAYE</v>
      </c>
      <c r="J2311" t="str">
        <f>"05 57 42 12 11 "</f>
        <v xml:space="preserve">05 57 42 12 11 </v>
      </c>
      <c r="K2311" t="str">
        <f>"05 57 64 23 30"</f>
        <v>05 57 64 23 30</v>
      </c>
      <c r="L2311" s="1">
        <v>37522</v>
      </c>
      <c r="M2311" t="str">
        <f t="shared" si="367"/>
        <v>124</v>
      </c>
      <c r="N2311" t="str">
        <f t="shared" si="368"/>
        <v>Centre de Santé</v>
      </c>
      <c r="O2311" t="str">
        <f>"47"</f>
        <v>47</v>
      </c>
      <c r="P2311" t="str">
        <f>"Société Mutualiste"</f>
        <v>Société Mutualiste</v>
      </c>
      <c r="Q2311" t="str">
        <f t="shared" si="363"/>
        <v>36</v>
      </c>
      <c r="R2311" t="str">
        <f t="shared" si="364"/>
        <v>Tarifs conventionnels assurance maladie</v>
      </c>
      <c r="U2311" t="str">
        <f>"330796392"</f>
        <v>330796392</v>
      </c>
    </row>
    <row r="2312" spans="1:21" x14ac:dyDescent="0.3">
      <c r="A2312" t="str">
        <f>"800017337"</f>
        <v>800017337</v>
      </c>
      <c r="B2312" t="str">
        <f>"444 444 012 00066"</f>
        <v>444 444 012 00066</v>
      </c>
      <c r="D2312" t="str">
        <f>"CS MDGOSS AMIENS"</f>
        <v>CS MDGOSS AMIENS</v>
      </c>
      <c r="F2312" t="str">
        <f>"68 RUE JULES BARNI"</f>
        <v>68 RUE JULES BARNI</v>
      </c>
      <c r="H2312" t="str">
        <f>"80000"</f>
        <v>80000</v>
      </c>
      <c r="I2312" t="str">
        <f>"AMIENS"</f>
        <v>AMIENS</v>
      </c>
      <c r="J2312" t="str">
        <f>"03 22 80 73 62 "</f>
        <v xml:space="preserve">03 22 80 73 62 </v>
      </c>
      <c r="K2312" t="str">
        <f>"03 22 72 30 08"</f>
        <v>03 22 72 30 08</v>
      </c>
      <c r="L2312" s="1">
        <v>37508</v>
      </c>
      <c r="M2312" t="str">
        <f t="shared" si="367"/>
        <v>124</v>
      </c>
      <c r="N2312" t="str">
        <f t="shared" si="368"/>
        <v>Centre de Santé</v>
      </c>
      <c r="O2312" t="str">
        <f>"47"</f>
        <v>47</v>
      </c>
      <c r="P2312" t="str">
        <f>"Société Mutualiste"</f>
        <v>Société Mutualiste</v>
      </c>
      <c r="Q2312" t="str">
        <f t="shared" si="363"/>
        <v>36</v>
      </c>
      <c r="R2312" t="str">
        <f t="shared" si="364"/>
        <v>Tarifs conventionnels assurance maladie</v>
      </c>
      <c r="U2312" t="str">
        <f>"590039350"</f>
        <v>590039350</v>
      </c>
    </row>
    <row r="2313" spans="1:21" x14ac:dyDescent="0.3">
      <c r="A2313" t="str">
        <f>"940019714"</f>
        <v>940019714</v>
      </c>
      <c r="B2313" t="str">
        <f>"784 809 642 00258"</f>
        <v>784 809 642 00258</v>
      </c>
      <c r="D2313" t="str">
        <f>"CDS DENTAIRE IVRY"</f>
        <v>CDS DENTAIRE IVRY</v>
      </c>
      <c r="F2313" t="str">
        <f>"89 AVENUE GEORGES GOSNAT"</f>
        <v>89 AVENUE GEORGES GOSNAT</v>
      </c>
      <c r="H2313" t="str">
        <f>"94200"</f>
        <v>94200</v>
      </c>
      <c r="I2313" t="str">
        <f>"IVRY SUR SEINE"</f>
        <v>IVRY SUR SEINE</v>
      </c>
      <c r="J2313" t="str">
        <f>"01 56 20 10 24 "</f>
        <v xml:space="preserve">01 56 20 10 24 </v>
      </c>
      <c r="K2313" t="str">
        <f>"01 46 71 76 41"</f>
        <v>01 46 71 76 41</v>
      </c>
      <c r="L2313" s="1">
        <v>37463</v>
      </c>
      <c r="M2313" t="str">
        <f t="shared" si="367"/>
        <v>124</v>
      </c>
      <c r="N2313" t="str">
        <f t="shared" si="368"/>
        <v>Centre de Santé</v>
      </c>
      <c r="O2313" t="str">
        <f>"47"</f>
        <v>47</v>
      </c>
      <c r="P2313" t="str">
        <f>"Société Mutualiste"</f>
        <v>Société Mutualiste</v>
      </c>
      <c r="Q2313" t="str">
        <f t="shared" si="363"/>
        <v>36</v>
      </c>
      <c r="R2313" t="str">
        <f t="shared" si="364"/>
        <v>Tarifs conventionnels assurance maladie</v>
      </c>
      <c r="U2313" t="str">
        <f>"750814865"</f>
        <v>750814865</v>
      </c>
    </row>
    <row r="2314" spans="1:21" x14ac:dyDescent="0.3">
      <c r="A2314" t="str">
        <f>"830004008"</f>
        <v>830004008</v>
      </c>
      <c r="D2314" t="str">
        <f>"CDS DENTAIRE"</f>
        <v>CDS DENTAIRE</v>
      </c>
      <c r="F2314" t="str">
        <f>"101 AVENUE DES GUEULES ROUGES"</f>
        <v>101 AVENUE DES GUEULES ROUGES</v>
      </c>
      <c r="H2314" t="str">
        <f>"83170"</f>
        <v>83170</v>
      </c>
      <c r="I2314" t="str">
        <f>"BRIGNOLES"</f>
        <v>BRIGNOLES</v>
      </c>
      <c r="J2314" t="str">
        <f>"04 94 69 50 22 "</f>
        <v xml:space="preserve">04 94 69 50 22 </v>
      </c>
      <c r="K2314" t="str">
        <f>"04 94 69 04 35"</f>
        <v>04 94 69 04 35</v>
      </c>
      <c r="L2314" s="1">
        <v>37446</v>
      </c>
      <c r="M2314" t="str">
        <f t="shared" si="367"/>
        <v>124</v>
      </c>
      <c r="N2314" t="str">
        <f t="shared" si="368"/>
        <v>Centre de Santé</v>
      </c>
      <c r="O2314" t="str">
        <f>"47"</f>
        <v>47</v>
      </c>
      <c r="P2314" t="str">
        <f>"Société Mutualiste"</f>
        <v>Société Mutualiste</v>
      </c>
      <c r="Q2314" t="str">
        <f t="shared" si="363"/>
        <v>36</v>
      </c>
      <c r="R2314" t="str">
        <f t="shared" si="364"/>
        <v>Tarifs conventionnels assurance maladie</v>
      </c>
      <c r="U2314" t="str">
        <f>"130007032"</f>
        <v>130007032</v>
      </c>
    </row>
    <row r="2315" spans="1:21" x14ac:dyDescent="0.3">
      <c r="A2315" t="str">
        <f>"420782278"</f>
        <v>420782278</v>
      </c>
      <c r="B2315" t="str">
        <f>"775 602 527 00092"</f>
        <v>775 602 527 00092</v>
      </c>
      <c r="D2315" t="str">
        <f>"CENTRE DE SANTE AIMV VALBENOITE"</f>
        <v>CENTRE DE SANTE AIMV VALBENOITE</v>
      </c>
      <c r="F2315" t="str">
        <f>"17 RUE DES TEINTURIERS"</f>
        <v>17 RUE DES TEINTURIERS</v>
      </c>
      <c r="H2315" t="str">
        <f>"42100"</f>
        <v>42100</v>
      </c>
      <c r="I2315" t="str">
        <f>"ST ETIENNE"</f>
        <v>ST ETIENNE</v>
      </c>
      <c r="J2315" t="str">
        <f>"04 77 81 80 70 "</f>
        <v xml:space="preserve">04 77 81 80 70 </v>
      </c>
      <c r="K2315" t="str">
        <f>"04 77 47 11 38"</f>
        <v>04 77 47 11 38</v>
      </c>
      <c r="L2315" s="1">
        <v>37438</v>
      </c>
      <c r="M2315" t="str">
        <f t="shared" si="367"/>
        <v>124</v>
      </c>
      <c r="N2315" t="str">
        <f t="shared" si="368"/>
        <v>Centre de Santé</v>
      </c>
      <c r="O2315" t="str">
        <f>"60"</f>
        <v>60</v>
      </c>
      <c r="P2315" t="str">
        <f>"Association Loi 1901 non Reconnue d'Utilité Publique"</f>
        <v>Association Loi 1901 non Reconnue d'Utilité Publique</v>
      </c>
      <c r="Q2315" t="str">
        <f t="shared" si="363"/>
        <v>36</v>
      </c>
      <c r="R2315" t="str">
        <f t="shared" si="364"/>
        <v>Tarifs conventionnels assurance maladie</v>
      </c>
      <c r="U2315" t="str">
        <f>"420787095"</f>
        <v>420787095</v>
      </c>
    </row>
    <row r="2316" spans="1:21" x14ac:dyDescent="0.3">
      <c r="A2316" t="str">
        <f>"330008848"</f>
        <v>330008848</v>
      </c>
      <c r="B2316" t="str">
        <f>"775 584 972 00225"</f>
        <v>775 584 972 00225</v>
      </c>
      <c r="D2316" t="str">
        <f>"CENTRE DE SANTE DENTAIRE MUTUALISTE"</f>
        <v>CENTRE DE SANTE DENTAIRE MUTUALISTE</v>
      </c>
      <c r="F2316" t="str">
        <f>"49 COURS DU MARECHAL GALLIENI"</f>
        <v>49 COURS DU MARECHAL GALLIENI</v>
      </c>
      <c r="H2316" t="str">
        <f>"33082"</f>
        <v>33082</v>
      </c>
      <c r="I2316" t="str">
        <f>"BORDEAUX CEDEX"</f>
        <v>BORDEAUX CEDEX</v>
      </c>
      <c r="J2316" t="str">
        <f>"05 56 96 90 92 "</f>
        <v xml:space="preserve">05 56 96 90 92 </v>
      </c>
      <c r="K2316" t="str">
        <f>"05 57 53 01 19"</f>
        <v>05 57 53 01 19</v>
      </c>
      <c r="L2316" s="1">
        <v>37427</v>
      </c>
      <c r="M2316" t="str">
        <f t="shared" si="367"/>
        <v>124</v>
      </c>
      <c r="N2316" t="str">
        <f t="shared" si="368"/>
        <v>Centre de Santé</v>
      </c>
      <c r="O2316" t="str">
        <f t="shared" ref="O2316:O2323" si="369">"47"</f>
        <v>47</v>
      </c>
      <c r="P2316" t="str">
        <f t="shared" ref="P2316:P2323" si="370">"Société Mutualiste"</f>
        <v>Société Mutualiste</v>
      </c>
      <c r="Q2316" t="str">
        <f t="shared" si="363"/>
        <v>36</v>
      </c>
      <c r="R2316" t="str">
        <f t="shared" si="364"/>
        <v>Tarifs conventionnels assurance maladie</v>
      </c>
      <c r="U2316" t="str">
        <f>"330796392"</f>
        <v>330796392</v>
      </c>
    </row>
    <row r="2317" spans="1:21" x14ac:dyDescent="0.3">
      <c r="A2317" t="str">
        <f>"440043180"</f>
        <v>440043180</v>
      </c>
      <c r="B2317" t="str">
        <f>"844 881 417 01066"</f>
        <v>844 881 417 01066</v>
      </c>
      <c r="D2317" t="str">
        <f>"CENTRE DENTAIRE MUTUALISTE"</f>
        <v>CENTRE DENTAIRE MUTUALISTE</v>
      </c>
      <c r="E2317" t="str">
        <f>"RÉSIDENCE 'LE FLORIDE'"</f>
        <v>RÉSIDENCE 'LE FLORIDE'</v>
      </c>
      <c r="F2317" t="str">
        <f>"11 AVENUE HENRI GAUTIER"</f>
        <v>11 AVENUE HENRI GAUTIER</v>
      </c>
      <c r="H2317" t="str">
        <f>"44600"</f>
        <v>44600</v>
      </c>
      <c r="I2317" t="str">
        <f>"ST NAZAIRE"</f>
        <v>ST NAZAIRE</v>
      </c>
      <c r="J2317" t="str">
        <f>"02 40 17 89 00 "</f>
        <v xml:space="preserve">02 40 17 89 00 </v>
      </c>
      <c r="L2317" s="1">
        <v>37392</v>
      </c>
      <c r="M2317" t="str">
        <f t="shared" si="367"/>
        <v>124</v>
      </c>
      <c r="N2317" t="str">
        <f t="shared" si="368"/>
        <v>Centre de Santé</v>
      </c>
      <c r="O2317" t="str">
        <f t="shared" si="369"/>
        <v>47</v>
      </c>
      <c r="P2317" t="str">
        <f t="shared" si="370"/>
        <v>Société Mutualiste</v>
      </c>
      <c r="Q2317" t="str">
        <f t="shared" si="363"/>
        <v>36</v>
      </c>
      <c r="R2317" t="str">
        <f t="shared" si="364"/>
        <v>Tarifs conventionnels assurance maladie</v>
      </c>
      <c r="U2317" t="str">
        <f>"850028085"</f>
        <v>850028085</v>
      </c>
    </row>
    <row r="2318" spans="1:21" x14ac:dyDescent="0.3">
      <c r="A2318" t="str">
        <f>"130785728"</f>
        <v>130785728</v>
      </c>
      <c r="B2318" t="str">
        <f>"782 814 727 00023"</f>
        <v>782 814 727 00023</v>
      </c>
      <c r="D2318" t="str">
        <f>"CDS MEDICAL MRS METROPOLE"</f>
        <v>CDS MEDICAL MRS METROPOLE</v>
      </c>
      <c r="F2318" t="str">
        <f>"51 RUE DE ROME"</f>
        <v>51 RUE DE ROME</v>
      </c>
      <c r="H2318" t="str">
        <f>"13001"</f>
        <v>13001</v>
      </c>
      <c r="I2318" t="str">
        <f>"MARSEILLE"</f>
        <v>MARSEILLE</v>
      </c>
      <c r="J2318" t="str">
        <f>"04 91 13 98 89 "</f>
        <v xml:space="preserve">04 91 13 98 89 </v>
      </c>
      <c r="L2318" s="1">
        <v>37389</v>
      </c>
      <c r="M2318" t="str">
        <f t="shared" si="367"/>
        <v>124</v>
      </c>
      <c r="N2318" t="str">
        <f t="shared" si="368"/>
        <v>Centre de Santé</v>
      </c>
      <c r="O2318" t="str">
        <f t="shared" si="369"/>
        <v>47</v>
      </c>
      <c r="P2318" t="str">
        <f t="shared" si="370"/>
        <v>Société Mutualiste</v>
      </c>
      <c r="Q2318" t="str">
        <f t="shared" si="363"/>
        <v>36</v>
      </c>
      <c r="R2318" t="str">
        <f t="shared" si="364"/>
        <v>Tarifs conventionnels assurance maladie</v>
      </c>
      <c r="U2318" t="str">
        <f>"130002256"</f>
        <v>130002256</v>
      </c>
    </row>
    <row r="2319" spans="1:21" x14ac:dyDescent="0.3">
      <c r="A2319" t="str">
        <f>"250016680"</f>
        <v>250016680</v>
      </c>
      <c r="B2319" t="str">
        <f>"775 571 276 00192"</f>
        <v>775 571 276 00192</v>
      </c>
      <c r="D2319" t="str">
        <f>"CENTRE SANTE DENTAIRE RODIN"</f>
        <v>CENTRE SANTE DENTAIRE RODIN</v>
      </c>
      <c r="F2319" t="str">
        <f>"8 RUE BLAISE PASCAL"</f>
        <v>8 RUE BLAISE PASCAL</v>
      </c>
      <c r="H2319" t="str">
        <f>"25000"</f>
        <v>25000</v>
      </c>
      <c r="I2319" t="str">
        <f>"BESANCON"</f>
        <v>BESANCON</v>
      </c>
      <c r="J2319" t="str">
        <f>"03 81 41 46 70 "</f>
        <v xml:space="preserve">03 81 41 46 70 </v>
      </c>
      <c r="K2319" t="str">
        <f>"03 81 41 46 78"</f>
        <v>03 81 41 46 78</v>
      </c>
      <c r="L2319" s="1">
        <v>37354</v>
      </c>
      <c r="M2319" t="str">
        <f t="shared" si="367"/>
        <v>124</v>
      </c>
      <c r="N2319" t="str">
        <f t="shared" si="368"/>
        <v>Centre de Santé</v>
      </c>
      <c r="O2319" t="str">
        <f t="shared" si="369"/>
        <v>47</v>
      </c>
      <c r="P2319" t="str">
        <f t="shared" si="370"/>
        <v>Société Mutualiste</v>
      </c>
      <c r="Q2319" t="str">
        <f t="shared" si="363"/>
        <v>36</v>
      </c>
      <c r="R2319" t="str">
        <f t="shared" si="364"/>
        <v>Tarifs conventionnels assurance maladie</v>
      </c>
      <c r="U2319" t="str">
        <f>"250001161"</f>
        <v>250001161</v>
      </c>
    </row>
    <row r="2320" spans="1:21" x14ac:dyDescent="0.3">
      <c r="A2320" t="str">
        <f>"210001459"</f>
        <v>210001459</v>
      </c>
      <c r="B2320" t="str">
        <f>"775 567 761 00751"</f>
        <v>775 567 761 00751</v>
      </c>
      <c r="D2320" t="str">
        <f>"CTRE SANTÉ DENTAIRE MUTUALISTE CHENOVE"</f>
        <v>CTRE SANTÉ DENTAIRE MUTUALISTE CHENOVE</v>
      </c>
      <c r="F2320" t="str">
        <f>"10 RUE DE LA FONTAINE DU MAIL"</f>
        <v>10 RUE DE LA FONTAINE DU MAIL</v>
      </c>
      <c r="H2320" t="str">
        <f>"21300"</f>
        <v>21300</v>
      </c>
      <c r="I2320" t="str">
        <f>"CHENOVE"</f>
        <v>CHENOVE</v>
      </c>
      <c r="J2320" t="str">
        <f>"03 80 54 35 90 "</f>
        <v xml:space="preserve">03 80 54 35 90 </v>
      </c>
      <c r="K2320" t="str">
        <f>"03 80 54 35 91"</f>
        <v>03 80 54 35 91</v>
      </c>
      <c r="L2320" s="1">
        <v>37299</v>
      </c>
      <c r="M2320" t="str">
        <f t="shared" si="367"/>
        <v>124</v>
      </c>
      <c r="N2320" t="str">
        <f t="shared" si="368"/>
        <v>Centre de Santé</v>
      </c>
      <c r="O2320" t="str">
        <f t="shared" si="369"/>
        <v>47</v>
      </c>
      <c r="P2320" t="str">
        <f t="shared" si="370"/>
        <v>Société Mutualiste</v>
      </c>
      <c r="Q2320" t="str">
        <f t="shared" si="363"/>
        <v>36</v>
      </c>
      <c r="R2320" t="str">
        <f t="shared" si="364"/>
        <v>Tarifs conventionnels assurance maladie</v>
      </c>
      <c r="U2320" t="str">
        <f>"210781266"</f>
        <v>210781266</v>
      </c>
    </row>
    <row r="2321" spans="1:21" x14ac:dyDescent="0.3">
      <c r="A2321" t="str">
        <f>"740786298"</f>
        <v>740786298</v>
      </c>
      <c r="D2321" t="str">
        <f>"CENTRE DE SANTE UMFMB MEYTHET"</f>
        <v>CENTRE DE SANTE UMFMB MEYTHET</v>
      </c>
      <c r="E2321" t="str">
        <f>"IMMEUBLE LE RABELAIS"</f>
        <v>IMMEUBLE LE RABELAIS</v>
      </c>
      <c r="F2321" t="str">
        <f>"21 ROUTE DE FRANGY"</f>
        <v>21 ROUTE DE FRANGY</v>
      </c>
      <c r="G2321" t="str">
        <f>"MEYTHET"</f>
        <v>MEYTHET</v>
      </c>
      <c r="H2321" t="str">
        <f>"74960"</f>
        <v>74960</v>
      </c>
      <c r="I2321" t="str">
        <f>"ANNECY"</f>
        <v>ANNECY</v>
      </c>
      <c r="J2321" t="str">
        <f>"04 50 22 37 13 "</f>
        <v xml:space="preserve">04 50 22 37 13 </v>
      </c>
      <c r="K2321" t="str">
        <f>"04 50 22 77 59"</f>
        <v>04 50 22 77 59</v>
      </c>
      <c r="L2321" s="1">
        <v>37288</v>
      </c>
      <c r="M2321" t="str">
        <f t="shared" si="367"/>
        <v>124</v>
      </c>
      <c r="N2321" t="str">
        <f t="shared" si="368"/>
        <v>Centre de Santé</v>
      </c>
      <c r="O2321" t="str">
        <f t="shared" si="369"/>
        <v>47</v>
      </c>
      <c r="P2321" t="str">
        <f t="shared" si="370"/>
        <v>Société Mutualiste</v>
      </c>
      <c r="Q2321" t="str">
        <f t="shared" si="363"/>
        <v>36</v>
      </c>
      <c r="R2321" t="str">
        <f t="shared" si="364"/>
        <v>Tarifs conventionnels assurance maladie</v>
      </c>
      <c r="U2321" t="str">
        <f>"740787791"</f>
        <v>740787791</v>
      </c>
    </row>
    <row r="2322" spans="1:21" x14ac:dyDescent="0.3">
      <c r="A2322" t="str">
        <f>"040788937"</f>
        <v>040788937</v>
      </c>
      <c r="B2322" t="str">
        <f>"391 642 113 00073"</f>
        <v>391 642 113 00073</v>
      </c>
      <c r="D2322" t="str">
        <f>"CDS DENTAIRE"</f>
        <v>CDS DENTAIRE</v>
      </c>
      <c r="E2322" t="str">
        <f>"RÉSIDENCE L'ODYSSÉE"</f>
        <v>RÉSIDENCE L'ODYSSÉE</v>
      </c>
      <c r="F2322" t="str">
        <f>"RUE DU TRIBUNAL"</f>
        <v>RUE DU TRIBUNAL</v>
      </c>
      <c r="H2322" t="str">
        <f>"04100"</f>
        <v>04100</v>
      </c>
      <c r="I2322" t="str">
        <f>"MANOSQUE"</f>
        <v>MANOSQUE</v>
      </c>
      <c r="J2322" t="str">
        <f>"04 92 72 76 66 "</f>
        <v xml:space="preserve">04 92 72 76 66 </v>
      </c>
      <c r="K2322" t="str">
        <f>"04 92 87 32 25"</f>
        <v>04 92 87 32 25</v>
      </c>
      <c r="L2322" s="1">
        <v>37277</v>
      </c>
      <c r="M2322" t="str">
        <f t="shared" si="367"/>
        <v>124</v>
      </c>
      <c r="N2322" t="str">
        <f t="shared" si="368"/>
        <v>Centre de Santé</v>
      </c>
      <c r="O2322" t="str">
        <f t="shared" si="369"/>
        <v>47</v>
      </c>
      <c r="P2322" t="str">
        <f t="shared" si="370"/>
        <v>Société Mutualiste</v>
      </c>
      <c r="Q2322" t="str">
        <f t="shared" si="363"/>
        <v>36</v>
      </c>
      <c r="R2322" t="str">
        <f t="shared" si="364"/>
        <v>Tarifs conventionnels assurance maladie</v>
      </c>
      <c r="U2322" t="str">
        <f>"050006741"</f>
        <v>050006741</v>
      </c>
    </row>
    <row r="2323" spans="1:21" x14ac:dyDescent="0.3">
      <c r="A2323" t="str">
        <f>"440043206"</f>
        <v>440043206</v>
      </c>
      <c r="B2323" t="str">
        <f>"844 881 417 00902"</f>
        <v>844 881 417 00902</v>
      </c>
      <c r="D2323" t="str">
        <f>"CENTRE DENTAIRE MUTUALISTE"</f>
        <v>CENTRE DENTAIRE MUTUALISTE</v>
      </c>
      <c r="F2323" t="str">
        <f>"5 RUE DES TROENES"</f>
        <v>5 RUE DES TROENES</v>
      </c>
      <c r="H2323" t="str">
        <f>"44600"</f>
        <v>44600</v>
      </c>
      <c r="I2323" t="str">
        <f>"ST NAZAIRE"</f>
        <v>ST NAZAIRE</v>
      </c>
      <c r="J2323" t="str">
        <f>"02 40 19 19 03 "</f>
        <v xml:space="preserve">02 40 19 19 03 </v>
      </c>
      <c r="K2323" t="str">
        <f>"02 40 19 19 04"</f>
        <v>02 40 19 19 04</v>
      </c>
      <c r="L2323" s="1">
        <v>37262</v>
      </c>
      <c r="M2323" t="str">
        <f t="shared" si="367"/>
        <v>124</v>
      </c>
      <c r="N2323" t="str">
        <f t="shared" si="368"/>
        <v>Centre de Santé</v>
      </c>
      <c r="O2323" t="str">
        <f t="shared" si="369"/>
        <v>47</v>
      </c>
      <c r="P2323" t="str">
        <f t="shared" si="370"/>
        <v>Société Mutualiste</v>
      </c>
      <c r="Q2323" t="str">
        <f t="shared" si="363"/>
        <v>36</v>
      </c>
      <c r="R2323" t="str">
        <f t="shared" si="364"/>
        <v>Tarifs conventionnels assurance maladie</v>
      </c>
      <c r="U2323" t="str">
        <f>"850028085"</f>
        <v>850028085</v>
      </c>
    </row>
    <row r="2324" spans="1:21" x14ac:dyDescent="0.3">
      <c r="A2324" t="str">
        <f>"250016540"</f>
        <v>250016540</v>
      </c>
      <c r="B2324" t="str">
        <f>"439 669 557 00019"</f>
        <v>439 669 557 00019</v>
      </c>
      <c r="D2324" t="str">
        <f>"CENTRE SOINS INFIRMIERS ASSM"</f>
        <v>CENTRE SOINS INFIRMIERS ASSM</v>
      </c>
      <c r="F2324" t="str">
        <f>"8 RUE PASTEUR"</f>
        <v>8 RUE PASTEUR</v>
      </c>
      <c r="H2324" t="str">
        <f>"25320"</f>
        <v>25320</v>
      </c>
      <c r="I2324" t="str">
        <f>"MONTFERRAND LE CHATEAU"</f>
        <v>MONTFERRAND LE CHATEAU</v>
      </c>
      <c r="J2324" t="str">
        <f>"03 81 56 57 55 "</f>
        <v xml:space="preserve">03 81 56 57 55 </v>
      </c>
      <c r="K2324" t="str">
        <f>"03 81 56 54 29"</f>
        <v>03 81 56 54 29</v>
      </c>
      <c r="L2324" s="1">
        <v>37165</v>
      </c>
      <c r="M2324" t="str">
        <f t="shared" si="367"/>
        <v>124</v>
      </c>
      <c r="N2324" t="str">
        <f t="shared" si="368"/>
        <v>Centre de Santé</v>
      </c>
      <c r="O2324" t="str">
        <f>"60"</f>
        <v>60</v>
      </c>
      <c r="P2324" t="str">
        <f>"Association Loi 1901 non Reconnue d'Utilité Publique"</f>
        <v>Association Loi 1901 non Reconnue d'Utilité Publique</v>
      </c>
      <c r="Q2324" t="str">
        <f t="shared" si="363"/>
        <v>36</v>
      </c>
      <c r="R2324" t="str">
        <f t="shared" si="364"/>
        <v>Tarifs conventionnels assurance maladie</v>
      </c>
      <c r="U2324" t="str">
        <f>"250016532"</f>
        <v>250016532</v>
      </c>
    </row>
    <row r="2325" spans="1:21" x14ac:dyDescent="0.3">
      <c r="A2325" t="str">
        <f>"560024333"</f>
        <v>560024333</v>
      </c>
      <c r="B2325" t="str">
        <f>"348 534 363 00026"</f>
        <v>348 534 363 00026</v>
      </c>
      <c r="D2325" t="str">
        <f>"CDS INFIRMIER DE MAURON"</f>
        <v>CDS INFIRMIER DE MAURON</v>
      </c>
      <c r="F2325" t="str">
        <f>"1 AVENUE DU GRAND MOULIN"</f>
        <v>1 AVENUE DU GRAND MOULIN</v>
      </c>
      <c r="H2325" t="str">
        <f>"56430"</f>
        <v>56430</v>
      </c>
      <c r="I2325" t="str">
        <f>"MAURON"</f>
        <v>MAURON</v>
      </c>
      <c r="J2325" t="str">
        <f>"02 97 22 62 51 "</f>
        <v xml:space="preserve">02 97 22 62 51 </v>
      </c>
      <c r="L2325" s="1">
        <v>37159</v>
      </c>
      <c r="M2325" t="str">
        <f t="shared" si="367"/>
        <v>124</v>
      </c>
      <c r="N2325" t="str">
        <f t="shared" si="368"/>
        <v>Centre de Santé</v>
      </c>
      <c r="O2325" t="str">
        <f>"61"</f>
        <v>61</v>
      </c>
      <c r="P2325" t="str">
        <f>"Association Loi 1901 Reconnue d'Utilité Publique"</f>
        <v>Association Loi 1901 Reconnue d'Utilité Publique</v>
      </c>
      <c r="Q2325" t="str">
        <f t="shared" si="363"/>
        <v>36</v>
      </c>
      <c r="R2325" t="str">
        <f t="shared" si="364"/>
        <v>Tarifs conventionnels assurance maladie</v>
      </c>
      <c r="U2325" t="str">
        <f>"560006025"</f>
        <v>560006025</v>
      </c>
    </row>
    <row r="2326" spans="1:21" x14ac:dyDescent="0.3">
      <c r="A2326" t="str">
        <f>"340782275"</f>
        <v>340782275</v>
      </c>
      <c r="B2326" t="str">
        <f>"512 611 781 00281"</f>
        <v>512 611 781 00281</v>
      </c>
      <c r="D2326" t="str">
        <f>"CENTRE DE SANTE DENTAIRE BEZIERS"</f>
        <v>CENTRE DE SANTE DENTAIRE BEZIERS</v>
      </c>
      <c r="E2326" t="str">
        <f>"PAE DE MERCORENT"</f>
        <v>PAE DE MERCORENT</v>
      </c>
      <c r="F2326" t="str">
        <f>"182 RUE JEAN AUGUSTIN FRESNEL"</f>
        <v>182 RUE JEAN AUGUSTIN FRESNEL</v>
      </c>
      <c r="G2326" t="str">
        <f>"CS 20682"</f>
        <v>CS 20682</v>
      </c>
      <c r="H2326" t="str">
        <f>"34537"</f>
        <v>34537</v>
      </c>
      <c r="I2326" t="str">
        <f>"BEZIERS CEDEX"</f>
        <v>BEZIERS CEDEX</v>
      </c>
      <c r="J2326" t="str">
        <f>"04 67 31 53 53 "</f>
        <v xml:space="preserve">04 67 31 53 53 </v>
      </c>
      <c r="L2326" s="1">
        <v>37104</v>
      </c>
      <c r="M2326" t="str">
        <f t="shared" si="367"/>
        <v>124</v>
      </c>
      <c r="N2326" t="str">
        <f t="shared" si="368"/>
        <v>Centre de Santé</v>
      </c>
      <c r="O2326" t="str">
        <f>"60"</f>
        <v>60</v>
      </c>
      <c r="P2326" t="str">
        <f>"Association Loi 1901 non Reconnue d'Utilité Publique"</f>
        <v>Association Loi 1901 non Reconnue d'Utilité Publique</v>
      </c>
      <c r="Q2326" t="str">
        <f t="shared" si="363"/>
        <v>36</v>
      </c>
      <c r="R2326" t="str">
        <f t="shared" si="364"/>
        <v>Tarifs conventionnels assurance maladie</v>
      </c>
      <c r="U2326" t="str">
        <f>"840019210"</f>
        <v>840019210</v>
      </c>
    </row>
    <row r="2327" spans="1:21" x14ac:dyDescent="0.3">
      <c r="A2327" t="str">
        <f>"750044075"</f>
        <v>750044075</v>
      </c>
      <c r="B2327" t="str">
        <f>"434 312 492 00029"</f>
        <v>434 312 492 00029</v>
      </c>
      <c r="D2327" t="str">
        <f>"CDS HAUSSMANN"</f>
        <v>CDS HAUSSMANN</v>
      </c>
      <c r="E2327" t="str">
        <f>"2-4"</f>
        <v>2-4</v>
      </c>
      <c r="F2327" t="str">
        <f>"2 BOULEVARD HAUSSMANN"</f>
        <v>2 BOULEVARD HAUSSMANN</v>
      </c>
      <c r="H2327" t="str">
        <f>"75009"</f>
        <v>75009</v>
      </c>
      <c r="I2327" t="str">
        <f>"PARIS"</f>
        <v>PARIS</v>
      </c>
      <c r="J2327" t="str">
        <f>"01 48 00 24 00 "</f>
        <v xml:space="preserve">01 48 00 24 00 </v>
      </c>
      <c r="K2327" t="str">
        <f>"01 49 95 98 68"</f>
        <v>01 49 95 98 68</v>
      </c>
      <c r="L2327" s="1">
        <v>37103</v>
      </c>
      <c r="M2327" t="str">
        <f t="shared" si="367"/>
        <v>124</v>
      </c>
      <c r="N2327" t="str">
        <f t="shared" si="368"/>
        <v>Centre de Santé</v>
      </c>
      <c r="O2327" t="str">
        <f>"60"</f>
        <v>60</v>
      </c>
      <c r="P2327" t="str">
        <f>"Association Loi 1901 non Reconnue d'Utilité Publique"</f>
        <v>Association Loi 1901 non Reconnue d'Utilité Publique</v>
      </c>
      <c r="Q2327" t="str">
        <f t="shared" si="363"/>
        <v>36</v>
      </c>
      <c r="R2327" t="str">
        <f t="shared" si="364"/>
        <v>Tarifs conventionnels assurance maladie</v>
      </c>
      <c r="U2327" t="str">
        <f>"750044067"</f>
        <v>750044067</v>
      </c>
    </row>
    <row r="2328" spans="1:21" x14ac:dyDescent="0.3">
      <c r="A2328" t="str">
        <f>"130807886"</f>
        <v>130807886</v>
      </c>
      <c r="D2328" t="str">
        <f>"CDS DENTAIRE  OXANCE SALON DE PROVENCE"</f>
        <v>CDS DENTAIRE  OXANCE SALON DE PROVENCE</v>
      </c>
      <c r="F2328" t="str">
        <f>"182 ALLEE DE CRAPONNE"</f>
        <v>182 ALLEE DE CRAPONNE</v>
      </c>
      <c r="H2328" t="str">
        <f>"13300"</f>
        <v>13300</v>
      </c>
      <c r="I2328" t="str">
        <f>"SALON DE PROVENCE"</f>
        <v>SALON DE PROVENCE</v>
      </c>
      <c r="J2328" t="str">
        <f>"04 90 45 06 50 "</f>
        <v xml:space="preserve">04 90 45 06 50 </v>
      </c>
      <c r="K2328" t="str">
        <f>"04 90 56 86 05"</f>
        <v>04 90 56 86 05</v>
      </c>
      <c r="L2328" s="1">
        <v>37077</v>
      </c>
      <c r="M2328" t="str">
        <f t="shared" si="367"/>
        <v>124</v>
      </c>
      <c r="N2328" t="str">
        <f t="shared" si="368"/>
        <v>Centre de Santé</v>
      </c>
      <c r="O2328" t="str">
        <f>"47"</f>
        <v>47</v>
      </c>
      <c r="P2328" t="str">
        <f>"Société Mutualiste"</f>
        <v>Société Mutualiste</v>
      </c>
      <c r="Q2328" t="str">
        <f t="shared" si="363"/>
        <v>36</v>
      </c>
      <c r="R2328" t="str">
        <f t="shared" si="364"/>
        <v>Tarifs conventionnels assurance maladie</v>
      </c>
      <c r="U2328" t="str">
        <f>"690048111"</f>
        <v>690048111</v>
      </c>
    </row>
    <row r="2329" spans="1:21" x14ac:dyDescent="0.3">
      <c r="A2329" t="str">
        <f>"420002370"</f>
        <v>420002370</v>
      </c>
      <c r="B2329" t="str">
        <f>"390 415 669 00022"</f>
        <v>390 415 669 00022</v>
      </c>
      <c r="D2329" t="str">
        <f>"CENTRE DE SANTE SEMAD 24/24 LE COTEAU"</f>
        <v>CENTRE DE SANTE SEMAD 24/24 LE COTEAU</v>
      </c>
      <c r="E2329" t="str">
        <f>"RESIDENCE LA CITADELLE"</f>
        <v>RESIDENCE LA CITADELLE</v>
      </c>
      <c r="F2329" t="str">
        <f>"6 RUE AUGUSTE BOUSSON"</f>
        <v>6 RUE AUGUSTE BOUSSON</v>
      </c>
      <c r="H2329" t="str">
        <f>"42120"</f>
        <v>42120</v>
      </c>
      <c r="I2329" t="str">
        <f>"LE COTEAU"</f>
        <v>LE COTEAU</v>
      </c>
      <c r="J2329" t="str">
        <f>"04 77 68 12 12 "</f>
        <v xml:space="preserve">04 77 68 12 12 </v>
      </c>
      <c r="K2329" t="str">
        <f>"04 77 70 36 01"</f>
        <v>04 77 70 36 01</v>
      </c>
      <c r="L2329" s="1">
        <v>37073</v>
      </c>
      <c r="M2329" t="str">
        <f t="shared" si="367"/>
        <v>124</v>
      </c>
      <c r="N2329" t="str">
        <f t="shared" si="368"/>
        <v>Centre de Santé</v>
      </c>
      <c r="O2329" t="str">
        <f>"60"</f>
        <v>60</v>
      </c>
      <c r="P2329" t="str">
        <f>"Association Loi 1901 non Reconnue d'Utilité Publique"</f>
        <v>Association Loi 1901 non Reconnue d'Utilité Publique</v>
      </c>
      <c r="Q2329" t="str">
        <f t="shared" si="363"/>
        <v>36</v>
      </c>
      <c r="R2329" t="str">
        <f t="shared" si="364"/>
        <v>Tarifs conventionnels assurance maladie</v>
      </c>
      <c r="U2329" t="str">
        <f>"420002123"</f>
        <v>420002123</v>
      </c>
    </row>
    <row r="2330" spans="1:21" x14ac:dyDescent="0.3">
      <c r="A2330" t="str">
        <f>"570023226"</f>
        <v>570023226</v>
      </c>
      <c r="B2330" t="str">
        <f>"775 615 537 00757"</f>
        <v>775 615 537 00757</v>
      </c>
      <c r="D2330" t="str">
        <f>"CENTRE DE SANTE DENTAIRE UTML"</f>
        <v>CENTRE DE SANTE DENTAIRE UTML</v>
      </c>
      <c r="F2330" t="str">
        <f>"17 RUE DU LINKLING"</f>
        <v>17 RUE DU LINKLING</v>
      </c>
      <c r="H2330" t="str">
        <f>"57180"</f>
        <v>57180</v>
      </c>
      <c r="I2330" t="str">
        <f>"TERVILLE"</f>
        <v>TERVILLE</v>
      </c>
      <c r="J2330" t="str">
        <f>"03 82 88 65 10 "</f>
        <v xml:space="preserve">03 82 88 65 10 </v>
      </c>
      <c r="L2330" s="1">
        <v>37053</v>
      </c>
      <c r="M2330" t="str">
        <f t="shared" si="367"/>
        <v>124</v>
      </c>
      <c r="N2330" t="str">
        <f t="shared" si="368"/>
        <v>Centre de Santé</v>
      </c>
      <c r="O2330" t="str">
        <f>"47"</f>
        <v>47</v>
      </c>
      <c r="P2330" t="str">
        <f>"Société Mutualiste"</f>
        <v>Société Mutualiste</v>
      </c>
      <c r="Q2330" t="str">
        <f t="shared" si="363"/>
        <v>36</v>
      </c>
      <c r="R2330" t="str">
        <f t="shared" si="364"/>
        <v>Tarifs conventionnels assurance maladie</v>
      </c>
      <c r="U2330" t="str">
        <f>"540013042"</f>
        <v>540013042</v>
      </c>
    </row>
    <row r="2331" spans="1:21" x14ac:dyDescent="0.3">
      <c r="A2331" t="str">
        <f>"190010694"</f>
        <v>190010694</v>
      </c>
      <c r="B2331" t="str">
        <f>"775 716 673 00576"</f>
        <v>775 716 673 00576</v>
      </c>
      <c r="D2331" t="str">
        <f>"CENTRE DENTAIRE MUTUALISTE"</f>
        <v>CENTRE DENTAIRE MUTUALISTE</v>
      </c>
      <c r="E2331" t="str">
        <f>"RESIDENCE BEAUSEJOUR"</f>
        <v>RESIDENCE BEAUSEJOUR</v>
      </c>
      <c r="F2331" t="str">
        <f>"18 RUE JEAN FIEYRE"</f>
        <v>18 RUE JEAN FIEYRE</v>
      </c>
      <c r="H2331" t="str">
        <f>"19100"</f>
        <v>19100</v>
      </c>
      <c r="I2331" t="str">
        <f>"BRIVE LA GAILLARDE"</f>
        <v>BRIVE LA GAILLARDE</v>
      </c>
      <c r="J2331" t="str">
        <f>"05 55 18 26 11 "</f>
        <v xml:space="preserve">05 55 18 26 11 </v>
      </c>
      <c r="K2331" t="str">
        <f>"05 55 18 26 12"</f>
        <v>05 55 18 26 12</v>
      </c>
      <c r="L2331" s="1">
        <v>37013</v>
      </c>
      <c r="M2331" t="str">
        <f t="shared" si="367"/>
        <v>124</v>
      </c>
      <c r="N2331" t="str">
        <f t="shared" si="368"/>
        <v>Centre de Santé</v>
      </c>
      <c r="O2331" t="str">
        <f>"47"</f>
        <v>47</v>
      </c>
      <c r="P2331" t="str">
        <f>"Société Mutualiste"</f>
        <v>Société Mutualiste</v>
      </c>
      <c r="Q2331" t="str">
        <f t="shared" si="363"/>
        <v>36</v>
      </c>
      <c r="R2331" t="str">
        <f t="shared" si="364"/>
        <v>Tarifs conventionnels assurance maladie</v>
      </c>
      <c r="U2331" t="str">
        <f>"870016722"</f>
        <v>870016722</v>
      </c>
    </row>
    <row r="2332" spans="1:21" x14ac:dyDescent="0.3">
      <c r="A2332" t="str">
        <f>"380788976"</f>
        <v>380788976</v>
      </c>
      <c r="B2332" t="str">
        <f>"438 798 506 00012"</f>
        <v>438 798 506 00012</v>
      </c>
      <c r="D2332" t="str">
        <f>"CENTRE DE SANTE ADMR LA TOUR DU PIN"</f>
        <v>CENTRE DE SANTE ADMR LA TOUR DU PIN</v>
      </c>
      <c r="F2332" t="str">
        <f>"23 BOULEVARD GAMBETTA"</f>
        <v>23 BOULEVARD GAMBETTA</v>
      </c>
      <c r="H2332" t="str">
        <f>"38110"</f>
        <v>38110</v>
      </c>
      <c r="I2332" t="str">
        <f>"LA TOUR DU PIN"</f>
        <v>LA TOUR DU PIN</v>
      </c>
      <c r="J2332" t="str">
        <f>"04 74 83 36 58 "</f>
        <v xml:space="preserve">04 74 83 36 58 </v>
      </c>
      <c r="K2332" t="str">
        <f>"04 74 80 35 43"</f>
        <v>04 74 80 35 43</v>
      </c>
      <c r="L2332" s="1">
        <v>37012</v>
      </c>
      <c r="M2332" t="str">
        <f t="shared" si="367"/>
        <v>124</v>
      </c>
      <c r="N2332" t="str">
        <f t="shared" si="368"/>
        <v>Centre de Santé</v>
      </c>
      <c r="O2332" t="str">
        <f>"60"</f>
        <v>60</v>
      </c>
      <c r="P2332" t="str">
        <f>"Association Loi 1901 non Reconnue d'Utilité Publique"</f>
        <v>Association Loi 1901 non Reconnue d'Utilité Publique</v>
      </c>
      <c r="Q2332" t="str">
        <f t="shared" si="363"/>
        <v>36</v>
      </c>
      <c r="R2332" t="str">
        <f t="shared" si="364"/>
        <v>Tarifs conventionnels assurance maladie</v>
      </c>
      <c r="U2332" t="str">
        <f>"380793687"</f>
        <v>380793687</v>
      </c>
    </row>
    <row r="2333" spans="1:21" x14ac:dyDescent="0.3">
      <c r="A2333" t="str">
        <f>"920025293"</f>
        <v>920025293</v>
      </c>
      <c r="B2333" t="str">
        <f>"199 212 044 00267"</f>
        <v>199 212 044 00267</v>
      </c>
      <c r="D2333" t="str">
        <f>"CDS UNIVERSITE PARIS OUEST"</f>
        <v>CDS UNIVERSITE PARIS OUEST</v>
      </c>
      <c r="F2333" t="str">
        <f>"200 AVENUE DE LA REPUBLIQUE"</f>
        <v>200 AVENUE DE LA REPUBLIQUE</v>
      </c>
      <c r="H2333" t="str">
        <f>"92001"</f>
        <v>92001</v>
      </c>
      <c r="I2333" t="str">
        <f>"NANTERRE CEDEX"</f>
        <v>NANTERRE CEDEX</v>
      </c>
      <c r="J2333" t="str">
        <f>"01 40 97 78 57 "</f>
        <v xml:space="preserve">01 40 97 78 57 </v>
      </c>
      <c r="K2333" t="str">
        <f>"01 40 97 71 44"</f>
        <v>01 40 97 71 44</v>
      </c>
      <c r="L2333" s="1">
        <v>36979</v>
      </c>
      <c r="M2333" t="str">
        <f t="shared" si="367"/>
        <v>124</v>
      </c>
      <c r="N2333" t="str">
        <f t="shared" si="368"/>
        <v>Centre de Santé</v>
      </c>
      <c r="O2333" t="str">
        <f>"26"</f>
        <v>26</v>
      </c>
      <c r="P2333" t="str">
        <f>"Autre Etablissement Public à Caractère Administratif"</f>
        <v>Autre Etablissement Public à Caractère Administratif</v>
      </c>
      <c r="Q2333" t="str">
        <f t="shared" si="363"/>
        <v>36</v>
      </c>
      <c r="R2333" t="str">
        <f t="shared" si="364"/>
        <v>Tarifs conventionnels assurance maladie</v>
      </c>
      <c r="U2333" t="str">
        <f>"920025285"</f>
        <v>920025285</v>
      </c>
    </row>
    <row r="2334" spans="1:21" x14ac:dyDescent="0.3">
      <c r="A2334" t="str">
        <f>"490015880"</f>
        <v>490015880</v>
      </c>
      <c r="B2334" t="str">
        <f>"844 881 417 00795"</f>
        <v>844 881 417 00795</v>
      </c>
      <c r="D2334" t="str">
        <f>"CENTRE DE SANTE DENTAIRE MUTUALISTE"</f>
        <v>CENTRE DE SANTE DENTAIRE MUTUALISTE</v>
      </c>
      <c r="F2334" t="str">
        <f>"4 RUE L'ABBE FREMOND"</f>
        <v>4 RUE L'ABBE FREMOND</v>
      </c>
      <c r="H2334" t="str">
        <f>"49100"</f>
        <v>49100</v>
      </c>
      <c r="I2334" t="str">
        <f>"ANGERS"</f>
        <v>ANGERS</v>
      </c>
      <c r="J2334" t="str">
        <f>"02 41 19 91 40 "</f>
        <v xml:space="preserve">02 41 19 91 40 </v>
      </c>
      <c r="K2334" t="str">
        <f>"02 41 68 89 91"</f>
        <v>02 41 68 89 91</v>
      </c>
      <c r="L2334" s="1">
        <v>36966</v>
      </c>
      <c r="M2334" t="str">
        <f t="shared" si="367"/>
        <v>124</v>
      </c>
      <c r="N2334" t="str">
        <f t="shared" si="368"/>
        <v>Centre de Santé</v>
      </c>
      <c r="O2334" t="str">
        <f>"47"</f>
        <v>47</v>
      </c>
      <c r="P2334" t="str">
        <f>"Société Mutualiste"</f>
        <v>Société Mutualiste</v>
      </c>
      <c r="Q2334" t="str">
        <f t="shared" si="363"/>
        <v>36</v>
      </c>
      <c r="R2334" t="str">
        <f t="shared" si="364"/>
        <v>Tarifs conventionnels assurance maladie</v>
      </c>
      <c r="U2334" t="str">
        <f>"850028085"</f>
        <v>850028085</v>
      </c>
    </row>
    <row r="2335" spans="1:21" x14ac:dyDescent="0.3">
      <c r="A2335" t="str">
        <f>"940020563"</f>
        <v>940020563</v>
      </c>
      <c r="B2335" t="str">
        <f>"269 400 354 00057"</f>
        <v>269 400 354 00057</v>
      </c>
      <c r="D2335" t="str">
        <f>"CDS SOINS INFIRMIERS MUNICIPAL"</f>
        <v>CDS SOINS INFIRMIERS MUNICIPAL</v>
      </c>
      <c r="F2335" t="str">
        <f>"2 PLACE CHARLES DIGEON"</f>
        <v>2 PLACE CHARLES DIGEON</v>
      </c>
      <c r="H2335" t="str">
        <f>"94160"</f>
        <v>94160</v>
      </c>
      <c r="I2335" t="str">
        <f>"ST MANDE"</f>
        <v>ST MANDE</v>
      </c>
      <c r="J2335" t="str">
        <f>"01 49 57 78 89 "</f>
        <v xml:space="preserve">01 49 57 78 89 </v>
      </c>
      <c r="K2335" t="str">
        <f>"01 43 65 93 35"</f>
        <v>01 43 65 93 35</v>
      </c>
      <c r="L2335" s="1">
        <v>36951</v>
      </c>
      <c r="M2335" t="str">
        <f t="shared" si="367"/>
        <v>124</v>
      </c>
      <c r="N2335" t="str">
        <f t="shared" si="368"/>
        <v>Centre de Santé</v>
      </c>
      <c r="O2335" t="str">
        <f>"17"</f>
        <v>17</v>
      </c>
      <c r="P2335" t="str">
        <f>"Centre Communal d'Action Sociale"</f>
        <v>Centre Communal d'Action Sociale</v>
      </c>
      <c r="Q2335" t="str">
        <f t="shared" si="363"/>
        <v>36</v>
      </c>
      <c r="R2335" t="str">
        <f t="shared" si="364"/>
        <v>Tarifs conventionnels assurance maladie</v>
      </c>
      <c r="U2335" t="str">
        <f>"940806334"</f>
        <v>940806334</v>
      </c>
    </row>
    <row r="2336" spans="1:21" x14ac:dyDescent="0.3">
      <c r="A2336" t="str">
        <f>"940020571"</f>
        <v>940020571</v>
      </c>
      <c r="B2336" t="str">
        <f>"323 914 143 00124"</f>
        <v>323 914 143 00124</v>
      </c>
      <c r="D2336" t="str">
        <f>"CDS MEDICO SOCIAL DE LA CPAM 94"</f>
        <v>CDS MEDICO SOCIAL DE LA CPAM 94</v>
      </c>
      <c r="F2336" t="str">
        <f>"30 BOULEVARD DE CHAMPIGNY"</f>
        <v>30 BOULEVARD DE CHAMPIGNY</v>
      </c>
      <c r="H2336" t="str">
        <f>"94100"</f>
        <v>94100</v>
      </c>
      <c r="I2336" t="str">
        <f>"ST MAUR DES FOSSES"</f>
        <v>ST MAUR DES FOSSES</v>
      </c>
      <c r="J2336" t="str">
        <f>"01 41 81 42 10 "</f>
        <v xml:space="preserve">01 41 81 42 10 </v>
      </c>
      <c r="K2336" t="str">
        <f>"01 48 86 13 83"</f>
        <v>01 48 86 13 83</v>
      </c>
      <c r="L2336" s="1">
        <v>36951</v>
      </c>
      <c r="M2336" t="str">
        <f t="shared" si="367"/>
        <v>124</v>
      </c>
      <c r="N2336" t="str">
        <f t="shared" si="368"/>
        <v>Centre de Santé</v>
      </c>
      <c r="O2336" t="str">
        <f>"40"</f>
        <v>40</v>
      </c>
      <c r="P2336" t="str">
        <f>"Régime Général de Sécurité Sociale"</f>
        <v>Régime Général de Sécurité Sociale</v>
      </c>
      <c r="Q2336" t="str">
        <f t="shared" si="363"/>
        <v>36</v>
      </c>
      <c r="R2336" t="str">
        <f t="shared" si="364"/>
        <v>Tarifs conventionnels assurance maladie</v>
      </c>
      <c r="U2336" t="str">
        <f>"940809304"</f>
        <v>940809304</v>
      </c>
    </row>
    <row r="2337" spans="1:21" x14ac:dyDescent="0.3">
      <c r="A2337" t="str">
        <f>"620111260"</f>
        <v>620111260</v>
      </c>
      <c r="D2337" t="str">
        <f>"CENTRE DE SANTÉ DENTAIRE BOULOGNE"</f>
        <v>CENTRE DE SANTÉ DENTAIRE BOULOGNE</v>
      </c>
      <c r="F2337" t="str">
        <f>"89 RUE VICTOR HUGO"</f>
        <v>89 RUE VICTOR HUGO</v>
      </c>
      <c r="H2337" t="str">
        <f>"62200"</f>
        <v>62200</v>
      </c>
      <c r="I2337" t="str">
        <f>"BOULOGNE SUR MER"</f>
        <v>BOULOGNE SUR MER</v>
      </c>
      <c r="J2337" t="str">
        <f>"03 21 10 87 77 "</f>
        <v xml:space="preserve">03 21 10 87 77 </v>
      </c>
      <c r="K2337" t="str">
        <f>"03 21 87 66 76"</f>
        <v>03 21 87 66 76</v>
      </c>
      <c r="L2337" s="1">
        <v>36936</v>
      </c>
      <c r="M2337" t="str">
        <f t="shared" si="367"/>
        <v>124</v>
      </c>
      <c r="N2337" t="str">
        <f t="shared" si="368"/>
        <v>Centre de Santé</v>
      </c>
      <c r="O2337" t="str">
        <f>"47"</f>
        <v>47</v>
      </c>
      <c r="P2337" t="str">
        <f>"Société Mutualiste"</f>
        <v>Société Mutualiste</v>
      </c>
      <c r="Q2337" t="str">
        <f t="shared" si="363"/>
        <v>36</v>
      </c>
      <c r="R2337" t="str">
        <f t="shared" si="364"/>
        <v>Tarifs conventionnels assurance maladie</v>
      </c>
      <c r="U2337" t="str">
        <f>"590024469"</f>
        <v>590024469</v>
      </c>
    </row>
    <row r="2338" spans="1:21" x14ac:dyDescent="0.3">
      <c r="A2338" t="str">
        <f>"060021292"</f>
        <v>060021292</v>
      </c>
      <c r="B2338" t="str">
        <f>"352 098 131 00415"</f>
        <v>352 098 131 00415</v>
      </c>
      <c r="D2338" t="str">
        <f>"MUTUALITE FRANCAISE ALPES MARITIMES"</f>
        <v>MUTUALITE FRANCAISE ALPES MARITIMES</v>
      </c>
      <c r="E2338" t="str">
        <f>"RÉSIDENCE AMIRAL DE GRASSE"</f>
        <v>RÉSIDENCE AMIRAL DE GRASSE</v>
      </c>
      <c r="F2338" t="str">
        <f>"3 BOULEVARD VICTOR HUGO"</f>
        <v>3 BOULEVARD VICTOR HUGO</v>
      </c>
      <c r="H2338" t="str">
        <f>"06130"</f>
        <v>06130</v>
      </c>
      <c r="I2338" t="str">
        <f>"GRASSE"</f>
        <v>GRASSE</v>
      </c>
      <c r="J2338" t="str">
        <f>"04 93 36 07 52 "</f>
        <v xml:space="preserve">04 93 36 07 52 </v>
      </c>
      <c r="K2338" t="str">
        <f>"04 92 60 99 88"</f>
        <v>04 92 60 99 88</v>
      </c>
      <c r="L2338" s="1">
        <v>36935</v>
      </c>
      <c r="M2338" t="str">
        <f t="shared" si="367"/>
        <v>124</v>
      </c>
      <c r="N2338" t="str">
        <f t="shared" si="368"/>
        <v>Centre de Santé</v>
      </c>
      <c r="O2338" t="str">
        <f>"47"</f>
        <v>47</v>
      </c>
      <c r="P2338" t="str">
        <f>"Société Mutualiste"</f>
        <v>Société Mutualiste</v>
      </c>
      <c r="Q2338" t="str">
        <f t="shared" si="363"/>
        <v>36</v>
      </c>
      <c r="R2338" t="str">
        <f t="shared" si="364"/>
        <v>Tarifs conventionnels assurance maladie</v>
      </c>
      <c r="U2338" t="str">
        <f>"130007032"</f>
        <v>130007032</v>
      </c>
    </row>
    <row r="2339" spans="1:21" x14ac:dyDescent="0.3">
      <c r="A2339" t="str">
        <f>"300011434"</f>
        <v>300011434</v>
      </c>
      <c r="B2339" t="str">
        <f>"813 179 793 00233"</f>
        <v>813 179 793 00233</v>
      </c>
      <c r="D2339" t="str">
        <f>"CDS DENTAIRE MFGS SSAM NIMES PROUVE"</f>
        <v>CDS DENTAIRE MFGS SSAM NIMES PROUVE</v>
      </c>
      <c r="F2339" t="str">
        <f>"502 AVENUE JEAN PROUVE"</f>
        <v>502 AVENUE JEAN PROUVE</v>
      </c>
      <c r="G2339" t="str">
        <f>"BP 39090"</f>
        <v>BP 39090</v>
      </c>
      <c r="H2339" t="str">
        <f>"30900"</f>
        <v>30900</v>
      </c>
      <c r="I2339" t="str">
        <f>"NIMES"</f>
        <v>NIMES</v>
      </c>
      <c r="J2339" t="str">
        <f>"04 66 04 30 40 "</f>
        <v xml:space="preserve">04 66 04 30 40 </v>
      </c>
      <c r="K2339" t="str">
        <f>"04 66 04 30 35"</f>
        <v>04 66 04 30 35</v>
      </c>
      <c r="L2339" s="1">
        <v>36897</v>
      </c>
      <c r="M2339" t="str">
        <f t="shared" si="367"/>
        <v>124</v>
      </c>
      <c r="N2339" t="str">
        <f t="shared" si="368"/>
        <v>Centre de Santé</v>
      </c>
      <c r="O2339" t="str">
        <f>"47"</f>
        <v>47</v>
      </c>
      <c r="P2339" t="str">
        <f>"Société Mutualiste"</f>
        <v>Société Mutualiste</v>
      </c>
      <c r="Q2339" t="str">
        <f t="shared" si="363"/>
        <v>36</v>
      </c>
      <c r="R2339" t="str">
        <f t="shared" si="364"/>
        <v>Tarifs conventionnels assurance maladie</v>
      </c>
      <c r="U2339" t="str">
        <f>"340023209"</f>
        <v>340023209</v>
      </c>
    </row>
    <row r="2340" spans="1:21" x14ac:dyDescent="0.3">
      <c r="A2340" t="str">
        <f>"370002339"</f>
        <v>370002339</v>
      </c>
      <c r="B2340" t="str">
        <f>"775 672 272 15684"</f>
        <v>775 672 272 15684</v>
      </c>
      <c r="D2340" t="str">
        <f>"CENTRE DE SANTE SOINS INFIRMIERS"</f>
        <v>CENTRE DE SANTE SOINS INFIRMIERS</v>
      </c>
      <c r="F2340" t="str">
        <f>"38 RUE DE LA PIERRE"</f>
        <v>38 RUE DE LA PIERRE</v>
      </c>
      <c r="H2340" t="str">
        <f>"37100"</f>
        <v>37100</v>
      </c>
      <c r="I2340" t="str">
        <f>"TOURS"</f>
        <v>TOURS</v>
      </c>
      <c r="J2340" t="str">
        <f>"02 47 05 69 87 "</f>
        <v xml:space="preserve">02 47 05 69 87 </v>
      </c>
      <c r="L2340" s="1">
        <v>36893</v>
      </c>
      <c r="M2340" t="str">
        <f t="shared" si="367"/>
        <v>124</v>
      </c>
      <c r="N2340" t="str">
        <f t="shared" si="368"/>
        <v>Centre de Santé</v>
      </c>
      <c r="O2340" t="str">
        <f>"61"</f>
        <v>61</v>
      </c>
      <c r="P2340" t="str">
        <f>"Association Loi 1901 Reconnue d'Utilité Publique"</f>
        <v>Association Loi 1901 Reconnue d'Utilité Publique</v>
      </c>
      <c r="Q2340" t="str">
        <f t="shared" ref="Q2340:Q2403" si="371">"36"</f>
        <v>36</v>
      </c>
      <c r="R2340" t="str">
        <f t="shared" ref="R2340:R2403" si="372">"Tarifs conventionnels assurance maladie"</f>
        <v>Tarifs conventionnels assurance maladie</v>
      </c>
      <c r="U2340" t="str">
        <f>"750721334"</f>
        <v>750721334</v>
      </c>
    </row>
    <row r="2341" spans="1:21" x14ac:dyDescent="0.3">
      <c r="A2341" t="str">
        <f>"380789024"</f>
        <v>380789024</v>
      </c>
      <c r="B2341" t="str">
        <f>"779 559 343 00016"</f>
        <v>779 559 343 00016</v>
      </c>
      <c r="D2341" t="str">
        <f>"CENTRE DE SANTE ABBE GREGOIRE"</f>
        <v>CENTRE DE SANTE ABBE GREGOIRE</v>
      </c>
      <c r="F2341" t="str">
        <f>"53 RUE ABBE GREGOIRE"</f>
        <v>53 RUE ABBE GREGOIRE</v>
      </c>
      <c r="H2341" t="str">
        <f>"38000"</f>
        <v>38000</v>
      </c>
      <c r="I2341" t="str">
        <f>"GRENOBLE"</f>
        <v>GRENOBLE</v>
      </c>
      <c r="J2341" t="str">
        <f>"04 76 96 27 65 "</f>
        <v xml:space="preserve">04 76 96 27 65 </v>
      </c>
      <c r="K2341" t="str">
        <f>"04 76 84 51 03"</f>
        <v>04 76 84 51 03</v>
      </c>
      <c r="L2341" s="1">
        <v>36892</v>
      </c>
      <c r="M2341" t="str">
        <f t="shared" si="367"/>
        <v>124</v>
      </c>
      <c r="N2341" t="str">
        <f t="shared" si="368"/>
        <v>Centre de Santé</v>
      </c>
      <c r="O2341" t="str">
        <f>"60"</f>
        <v>60</v>
      </c>
      <c r="P2341" t="str">
        <f>"Association Loi 1901 non Reconnue d'Utilité Publique"</f>
        <v>Association Loi 1901 non Reconnue d'Utilité Publique</v>
      </c>
      <c r="Q2341" t="str">
        <f t="shared" si="371"/>
        <v>36</v>
      </c>
      <c r="R2341" t="str">
        <f t="shared" si="372"/>
        <v>Tarifs conventionnels assurance maladie</v>
      </c>
      <c r="U2341" t="str">
        <f>"380797928"</f>
        <v>380797928</v>
      </c>
    </row>
    <row r="2342" spans="1:21" x14ac:dyDescent="0.3">
      <c r="A2342" t="str">
        <f>"770015485"</f>
        <v>770015485</v>
      </c>
      <c r="B2342" t="str">
        <f>"751 068 545 00043"</f>
        <v>751 068 545 00043</v>
      </c>
      <c r="D2342" t="str">
        <f>"CDS DENTAIRE TORCY"</f>
        <v>CDS DENTAIRE TORCY</v>
      </c>
      <c r="F2342" t="str">
        <f>"1 ALLEE NICEPHORE NIEPCE"</f>
        <v>1 ALLEE NICEPHORE NIEPCE</v>
      </c>
      <c r="H2342" t="str">
        <f>"77200"</f>
        <v>77200</v>
      </c>
      <c r="I2342" t="str">
        <f>"TORCY"</f>
        <v>TORCY</v>
      </c>
      <c r="J2342" t="str">
        <f>"01 60 95 43 45 "</f>
        <v xml:space="preserve">01 60 95 43 45 </v>
      </c>
      <c r="K2342" t="str">
        <f>"01 60 95 43 46"</f>
        <v>01 60 95 43 46</v>
      </c>
      <c r="L2342" s="1">
        <v>36892</v>
      </c>
      <c r="M2342" t="str">
        <f t="shared" si="367"/>
        <v>124</v>
      </c>
      <c r="N2342" t="str">
        <f t="shared" si="368"/>
        <v>Centre de Santé</v>
      </c>
      <c r="O2342" t="str">
        <f>"60"</f>
        <v>60</v>
      </c>
      <c r="P2342" t="str">
        <f>"Association Loi 1901 non Reconnue d'Utilité Publique"</f>
        <v>Association Loi 1901 non Reconnue d'Utilité Publique</v>
      </c>
      <c r="Q2342" t="str">
        <f t="shared" si="371"/>
        <v>36</v>
      </c>
      <c r="R2342" t="str">
        <f t="shared" si="372"/>
        <v>Tarifs conventionnels assurance maladie</v>
      </c>
      <c r="U2342" t="str">
        <f>"750050767"</f>
        <v>750050767</v>
      </c>
    </row>
    <row r="2343" spans="1:21" x14ac:dyDescent="0.3">
      <c r="A2343" t="str">
        <f>"760026245"</f>
        <v>760026245</v>
      </c>
      <c r="B2343" t="str">
        <f>"794 994 277 01446"</f>
        <v>794 994 277 01446</v>
      </c>
      <c r="D2343" t="str">
        <f>"CLINIQUE DENTAIRE MUTUALISTE"</f>
        <v>CLINIQUE DENTAIRE MUTUALISTE</v>
      </c>
      <c r="F2343" t="str">
        <f>"8 ROUTE D'AUMALE"</f>
        <v>8 ROUTE D'AUMALE</v>
      </c>
      <c r="H2343" t="str">
        <f>"76270"</f>
        <v>76270</v>
      </c>
      <c r="I2343" t="str">
        <f>"NEUFCHATEL EN BRAY"</f>
        <v>NEUFCHATEL EN BRAY</v>
      </c>
      <c r="J2343" t="str">
        <f>"02 32 97 57 60 "</f>
        <v xml:space="preserve">02 32 97 57 60 </v>
      </c>
      <c r="L2343" s="1">
        <v>36834</v>
      </c>
      <c r="M2343" t="str">
        <f t="shared" si="367"/>
        <v>124</v>
      </c>
      <c r="N2343" t="str">
        <f t="shared" si="368"/>
        <v>Centre de Santé</v>
      </c>
      <c r="O2343" t="str">
        <f>"47"</f>
        <v>47</v>
      </c>
      <c r="P2343" t="str">
        <f>"Société Mutualiste"</f>
        <v>Société Mutualiste</v>
      </c>
      <c r="Q2343" t="str">
        <f t="shared" si="371"/>
        <v>36</v>
      </c>
      <c r="R2343" t="str">
        <f t="shared" si="372"/>
        <v>Tarifs conventionnels assurance maladie</v>
      </c>
      <c r="U2343" t="str">
        <f>"760000539"</f>
        <v>760000539</v>
      </c>
    </row>
    <row r="2344" spans="1:21" x14ac:dyDescent="0.3">
      <c r="A2344" t="str">
        <f>"680002292"</f>
        <v>680002292</v>
      </c>
      <c r="B2344" t="str">
        <f>"317 164 689 00182"</f>
        <v>317 164 689 00182</v>
      </c>
      <c r="D2344" t="str">
        <f>"CTRE DE SOINS INFIRMIERS BOURTZWILLER"</f>
        <v>CTRE DE SOINS INFIRMIERS BOURTZWILLER</v>
      </c>
      <c r="F2344" t="str">
        <f>"4 RUE DE LA BRESSE"</f>
        <v>4 RUE DE LA BRESSE</v>
      </c>
      <c r="H2344" t="str">
        <f>"68200"</f>
        <v>68200</v>
      </c>
      <c r="I2344" t="str">
        <f>"MULHOUSE"</f>
        <v>MULHOUSE</v>
      </c>
      <c r="J2344" t="str">
        <f>"03 89 52 28 57 "</f>
        <v xml:space="preserve">03 89 52 28 57 </v>
      </c>
      <c r="K2344" t="str">
        <f>"03 89 53 74 87"</f>
        <v>03 89 53 74 87</v>
      </c>
      <c r="L2344" s="1">
        <v>36784</v>
      </c>
      <c r="M2344" t="str">
        <f t="shared" si="367"/>
        <v>124</v>
      </c>
      <c r="N2344" t="str">
        <f t="shared" si="368"/>
        <v>Centre de Santé</v>
      </c>
      <c r="O2344" t="str">
        <f>"62"</f>
        <v>62</v>
      </c>
      <c r="P2344" t="str">
        <f>"Association de Droit Local"</f>
        <v>Association de Droit Local</v>
      </c>
      <c r="Q2344" t="str">
        <f t="shared" si="371"/>
        <v>36</v>
      </c>
      <c r="R2344" t="str">
        <f t="shared" si="372"/>
        <v>Tarifs conventionnels assurance maladie</v>
      </c>
      <c r="U2344" t="str">
        <f>"680013919"</f>
        <v>680013919</v>
      </c>
    </row>
    <row r="2345" spans="1:21" x14ac:dyDescent="0.3">
      <c r="A2345" t="str">
        <f>"330057043"</f>
        <v>330057043</v>
      </c>
      <c r="B2345" t="str">
        <f>"775 584 972 00183"</f>
        <v>775 584 972 00183</v>
      </c>
      <c r="D2345" t="str">
        <f>"CENTRE DE SANTE DENTAIRE MUTUALISTE"</f>
        <v>CENTRE DE SANTE DENTAIRE MUTUALISTE</v>
      </c>
      <c r="F2345" t="str">
        <f>"45 RUE VITAL CARLES"</f>
        <v>45 RUE VITAL CARLES</v>
      </c>
      <c r="H2345" t="str">
        <f>"33000"</f>
        <v>33000</v>
      </c>
      <c r="I2345" t="str">
        <f>"BORDEAUX"</f>
        <v>BORDEAUX</v>
      </c>
      <c r="J2345" t="str">
        <f>"05 56 44 93 78 "</f>
        <v xml:space="preserve">05 56 44 93 78 </v>
      </c>
      <c r="K2345" t="str">
        <f>"05 56 48 95 80"</f>
        <v>05 56 48 95 80</v>
      </c>
      <c r="L2345" s="1">
        <v>36748</v>
      </c>
      <c r="M2345" t="str">
        <f t="shared" si="367"/>
        <v>124</v>
      </c>
      <c r="N2345" t="str">
        <f t="shared" si="368"/>
        <v>Centre de Santé</v>
      </c>
      <c r="O2345" t="str">
        <f>"47"</f>
        <v>47</v>
      </c>
      <c r="P2345" t="str">
        <f>"Société Mutualiste"</f>
        <v>Société Mutualiste</v>
      </c>
      <c r="Q2345" t="str">
        <f t="shared" si="371"/>
        <v>36</v>
      </c>
      <c r="R2345" t="str">
        <f t="shared" si="372"/>
        <v>Tarifs conventionnels assurance maladie</v>
      </c>
      <c r="U2345" t="str">
        <f>"330796392"</f>
        <v>330796392</v>
      </c>
    </row>
    <row r="2346" spans="1:21" x14ac:dyDescent="0.3">
      <c r="A2346" t="str">
        <f>"770015436"</f>
        <v>770015436</v>
      </c>
      <c r="B2346" t="str">
        <f>"751 068 545 00068"</f>
        <v>751 068 545 00068</v>
      </c>
      <c r="D2346" t="str">
        <f>"CDS DENTAIRE MELUN"</f>
        <v>CDS DENTAIRE MELUN</v>
      </c>
      <c r="F2346" t="str">
        <f>"1 RUE DE LA BRASSERIE GRUBER"</f>
        <v>1 RUE DE LA BRASSERIE GRUBER</v>
      </c>
      <c r="H2346" t="str">
        <f>"77000"</f>
        <v>77000</v>
      </c>
      <c r="I2346" t="str">
        <f>"MELUN"</f>
        <v>MELUN</v>
      </c>
      <c r="J2346" t="str">
        <f>"01 64 83 01 75 "</f>
        <v xml:space="preserve">01 64 83 01 75 </v>
      </c>
      <c r="K2346" t="str">
        <f>"01 64 83 01 76"</f>
        <v>01 64 83 01 76</v>
      </c>
      <c r="L2346" s="1">
        <v>36702</v>
      </c>
      <c r="M2346" t="str">
        <f t="shared" si="367"/>
        <v>124</v>
      </c>
      <c r="N2346" t="str">
        <f t="shared" si="368"/>
        <v>Centre de Santé</v>
      </c>
      <c r="O2346" t="str">
        <f>"60"</f>
        <v>60</v>
      </c>
      <c r="P2346" t="str">
        <f>"Association Loi 1901 non Reconnue d'Utilité Publique"</f>
        <v>Association Loi 1901 non Reconnue d'Utilité Publique</v>
      </c>
      <c r="Q2346" t="str">
        <f t="shared" si="371"/>
        <v>36</v>
      </c>
      <c r="R2346" t="str">
        <f t="shared" si="372"/>
        <v>Tarifs conventionnels assurance maladie</v>
      </c>
      <c r="U2346" t="str">
        <f>"750050767"</f>
        <v>750050767</v>
      </c>
    </row>
    <row r="2347" spans="1:21" x14ac:dyDescent="0.3">
      <c r="A2347" t="str">
        <f>"210010203"</f>
        <v>210010203</v>
      </c>
      <c r="B2347" t="str">
        <f>"775 761 844 00544"</f>
        <v>775 761 844 00544</v>
      </c>
      <c r="D2347" t="str">
        <f>"CENTRE DE SANTÉ DENTAIRE MUTUALISTE"</f>
        <v>CENTRE DE SANTÉ DENTAIRE MUTUALISTE</v>
      </c>
      <c r="E2347" t="str">
        <f>"IMMEUBLE MERCURE"</f>
        <v>IMMEUBLE MERCURE</v>
      </c>
      <c r="F2347" t="str">
        <f>"13 AVENUE ALBERT 1ER"</f>
        <v>13 AVENUE ALBERT 1ER</v>
      </c>
      <c r="H2347" t="str">
        <f>"21000"</f>
        <v>21000</v>
      </c>
      <c r="I2347" t="str">
        <f>"DIJON"</f>
        <v>DIJON</v>
      </c>
      <c r="J2347" t="str">
        <f>"03 80 53 19 49 "</f>
        <v xml:space="preserve">03 80 53 19 49 </v>
      </c>
      <c r="K2347" t="str">
        <f>"03 80 53 18 35"</f>
        <v>03 80 53 18 35</v>
      </c>
      <c r="L2347" s="1">
        <v>36697</v>
      </c>
      <c r="M2347" t="str">
        <f t="shared" si="367"/>
        <v>124</v>
      </c>
      <c r="N2347" t="str">
        <f t="shared" si="368"/>
        <v>Centre de Santé</v>
      </c>
      <c r="O2347" t="str">
        <f>"47"</f>
        <v>47</v>
      </c>
      <c r="P2347" t="str">
        <f>"Société Mutualiste"</f>
        <v>Société Mutualiste</v>
      </c>
      <c r="Q2347" t="str">
        <f t="shared" si="371"/>
        <v>36</v>
      </c>
      <c r="R2347" t="str">
        <f t="shared" si="372"/>
        <v>Tarifs conventionnels assurance maladie</v>
      </c>
      <c r="U2347" t="str">
        <f>"690048111"</f>
        <v>690048111</v>
      </c>
    </row>
    <row r="2348" spans="1:21" x14ac:dyDescent="0.3">
      <c r="A2348" t="str">
        <f>"400011326"</f>
        <v>400011326</v>
      </c>
      <c r="B2348" t="str">
        <f>"390 749 547 00050"</f>
        <v>390 749 547 00050</v>
      </c>
      <c r="D2348" t="str">
        <f>"CENTRE DE SANTE DENTAIRE MUTUALISTE"</f>
        <v>CENTRE DE SANTE DENTAIRE MUTUALISTE</v>
      </c>
      <c r="F2348" t="str">
        <f>"14 RUE DU IV SEPTEMBRE"</f>
        <v>14 RUE DU IV SEPTEMBRE</v>
      </c>
      <c r="G2348" t="str">
        <f>"BP 76"</f>
        <v>BP 76</v>
      </c>
      <c r="H2348" t="str">
        <f>"40002"</f>
        <v>40002</v>
      </c>
      <c r="I2348" t="str">
        <f>"MONT DE MARSAN CEDEX"</f>
        <v>MONT DE MARSAN CEDEX</v>
      </c>
      <c r="J2348" t="str">
        <f>"05 58 85 88 80 "</f>
        <v xml:space="preserve">05 58 85 88 80 </v>
      </c>
      <c r="K2348" t="str">
        <f>"05 58 85 88 89"</f>
        <v>05 58 85 88 89</v>
      </c>
      <c r="L2348" s="1">
        <v>36648</v>
      </c>
      <c r="M2348" t="str">
        <f t="shared" si="367"/>
        <v>124</v>
      </c>
      <c r="N2348" t="str">
        <f t="shared" si="368"/>
        <v>Centre de Santé</v>
      </c>
      <c r="O2348" t="str">
        <f>"47"</f>
        <v>47</v>
      </c>
      <c r="P2348" t="str">
        <f>"Société Mutualiste"</f>
        <v>Société Mutualiste</v>
      </c>
      <c r="Q2348" t="str">
        <f t="shared" si="371"/>
        <v>36</v>
      </c>
      <c r="R2348" t="str">
        <f t="shared" si="372"/>
        <v>Tarifs conventionnels assurance maladie</v>
      </c>
      <c r="U2348" t="str">
        <f>"400011300"</f>
        <v>400011300</v>
      </c>
    </row>
    <row r="2349" spans="1:21" x14ac:dyDescent="0.3">
      <c r="A2349" t="str">
        <f>"710007907"</f>
        <v>710007907</v>
      </c>
      <c r="B2349" t="str">
        <f>"805 357 159 00062"</f>
        <v>805 357 159 00062</v>
      </c>
      <c r="D2349" t="str">
        <f>"CENTRE DE SANTE RENALE DE MONTCEAU"</f>
        <v>CENTRE DE SANTE RENALE DE MONTCEAU</v>
      </c>
      <c r="F2349" t="str">
        <f>"6 RUE BARBES"</f>
        <v>6 RUE BARBES</v>
      </c>
      <c r="H2349" t="str">
        <f>"71300"</f>
        <v>71300</v>
      </c>
      <c r="I2349" t="str">
        <f>"MONTCEAU LES MINES"</f>
        <v>MONTCEAU LES MINES</v>
      </c>
      <c r="J2349" t="str">
        <f>"03 85 67 60 60 "</f>
        <v xml:space="preserve">03 85 67 60 60 </v>
      </c>
      <c r="L2349" s="1">
        <v>36641</v>
      </c>
      <c r="M2349" t="str">
        <f t="shared" si="367"/>
        <v>124</v>
      </c>
      <c r="N2349" t="str">
        <f t="shared" si="368"/>
        <v>Centre de Santé</v>
      </c>
      <c r="O2349" t="str">
        <f>"61"</f>
        <v>61</v>
      </c>
      <c r="P2349" t="str">
        <f>"Association Loi 1901 Reconnue d'Utilité Publique"</f>
        <v>Association Loi 1901 Reconnue d'Utilité Publique</v>
      </c>
      <c r="Q2349" t="str">
        <f t="shared" si="371"/>
        <v>36</v>
      </c>
      <c r="R2349" t="str">
        <f t="shared" si="372"/>
        <v>Tarifs conventionnels assurance maladie</v>
      </c>
      <c r="U2349" t="str">
        <f>"210012290"</f>
        <v>210012290</v>
      </c>
    </row>
    <row r="2350" spans="1:21" x14ac:dyDescent="0.3">
      <c r="A2350" t="str">
        <f>"910805720"</f>
        <v>910805720</v>
      </c>
      <c r="B2350" t="str">
        <f>"329 714 869 00016"</f>
        <v>329 714 869 00016</v>
      </c>
      <c r="D2350" t="str">
        <f>"CDS MEDICO-SOCIAL FRANCE"</f>
        <v>CDS MEDICO-SOCIAL FRANCE</v>
      </c>
      <c r="F2350" t="str">
        <f>"19 PLACE DE FRANCE"</f>
        <v>19 PLACE DE FRANCE</v>
      </c>
      <c r="H2350" t="str">
        <f>"91300"</f>
        <v>91300</v>
      </c>
      <c r="I2350" t="str">
        <f>"MASSY"</f>
        <v>MASSY</v>
      </c>
      <c r="J2350" t="str">
        <f>"01 69 30 60 60 "</f>
        <v xml:space="preserve">01 69 30 60 60 </v>
      </c>
      <c r="K2350" t="str">
        <f>"01 69 30 13 22"</f>
        <v>01 69 30 13 22</v>
      </c>
      <c r="L2350" s="1">
        <v>36636</v>
      </c>
      <c r="M2350" t="str">
        <f t="shared" si="367"/>
        <v>124</v>
      </c>
      <c r="N2350" t="str">
        <f t="shared" si="368"/>
        <v>Centre de Santé</v>
      </c>
      <c r="O2350" t="str">
        <f>"60"</f>
        <v>60</v>
      </c>
      <c r="P2350" t="str">
        <f>"Association Loi 1901 non Reconnue d'Utilité Publique"</f>
        <v>Association Loi 1901 non Reconnue d'Utilité Publique</v>
      </c>
      <c r="Q2350" t="str">
        <f t="shared" si="371"/>
        <v>36</v>
      </c>
      <c r="R2350" t="str">
        <f t="shared" si="372"/>
        <v>Tarifs conventionnels assurance maladie</v>
      </c>
      <c r="U2350" t="str">
        <f>"910808666"</f>
        <v>910808666</v>
      </c>
    </row>
    <row r="2351" spans="1:21" x14ac:dyDescent="0.3">
      <c r="A2351" t="str">
        <f>"620111302"</f>
        <v>620111302</v>
      </c>
      <c r="D2351" t="str">
        <f>"CENTRE DE SANTÉ DENTAIRE DE LENS"</f>
        <v>CENTRE DE SANTÉ DENTAIRE DE LENS</v>
      </c>
      <c r="F2351" t="str">
        <f>"46 RUE RENE LANNOY"</f>
        <v>46 RUE RENE LANNOY</v>
      </c>
      <c r="H2351" t="str">
        <f>"62300"</f>
        <v>62300</v>
      </c>
      <c r="I2351" t="str">
        <f>"LENS"</f>
        <v>LENS</v>
      </c>
      <c r="J2351" t="str">
        <f>"03 21 13 61 20 "</f>
        <v xml:space="preserve">03 21 13 61 20 </v>
      </c>
      <c r="K2351" t="str">
        <f>"03 21 13 61 24"</f>
        <v>03 21 13 61 24</v>
      </c>
      <c r="L2351" s="1">
        <v>36633</v>
      </c>
      <c r="M2351" t="str">
        <f t="shared" si="367"/>
        <v>124</v>
      </c>
      <c r="N2351" t="str">
        <f t="shared" si="368"/>
        <v>Centre de Santé</v>
      </c>
      <c r="O2351" t="str">
        <f>"47"</f>
        <v>47</v>
      </c>
      <c r="P2351" t="str">
        <f>"Société Mutualiste"</f>
        <v>Société Mutualiste</v>
      </c>
      <c r="Q2351" t="str">
        <f t="shared" si="371"/>
        <v>36</v>
      </c>
      <c r="R2351" t="str">
        <f t="shared" si="372"/>
        <v>Tarifs conventionnels assurance maladie</v>
      </c>
      <c r="U2351" t="str">
        <f>"590024469"</f>
        <v>590024469</v>
      </c>
    </row>
    <row r="2352" spans="1:21" x14ac:dyDescent="0.3">
      <c r="A2352" t="str">
        <f>"250015575"</f>
        <v>250015575</v>
      </c>
      <c r="B2352" t="str">
        <f>"301 793 998 00024"</f>
        <v>301 793 998 00024</v>
      </c>
      <c r="D2352" t="str">
        <f>"CENTRE SANTE DON DU SOUFFLE"</f>
        <v>CENTRE SANTE DON DU SOUFFLE</v>
      </c>
      <c r="F2352" t="str">
        <f>"1 ESPLANADE DU PR FRANÇOIS BARALE"</f>
        <v>1 ESPLANADE DU PR FRANÇOIS BARALE</v>
      </c>
      <c r="G2352" t="str">
        <f>"CS 61605"</f>
        <v>CS 61605</v>
      </c>
      <c r="H2352" t="str">
        <f>"25041"</f>
        <v>25041</v>
      </c>
      <c r="I2352" t="str">
        <f>"BESANCON CEDEX"</f>
        <v>BESANCON CEDEX</v>
      </c>
      <c r="J2352" t="str">
        <f>"03 81 52 51 29 "</f>
        <v xml:space="preserve">03 81 52 51 29 </v>
      </c>
      <c r="K2352" t="str">
        <f>"03 81 51 75 11"</f>
        <v>03 81 51 75 11</v>
      </c>
      <c r="L2352" s="1">
        <v>36615</v>
      </c>
      <c r="M2352" t="str">
        <f t="shared" si="367"/>
        <v>124</v>
      </c>
      <c r="N2352" t="str">
        <f t="shared" si="368"/>
        <v>Centre de Santé</v>
      </c>
      <c r="O2352" t="str">
        <f>"60"</f>
        <v>60</v>
      </c>
      <c r="P2352" t="str">
        <f>"Association Loi 1901 non Reconnue d'Utilité Publique"</f>
        <v>Association Loi 1901 non Reconnue d'Utilité Publique</v>
      </c>
      <c r="Q2352" t="str">
        <f t="shared" si="371"/>
        <v>36</v>
      </c>
      <c r="R2352" t="str">
        <f t="shared" si="372"/>
        <v>Tarifs conventionnels assurance maladie</v>
      </c>
      <c r="U2352" t="str">
        <f>"250008984"</f>
        <v>250008984</v>
      </c>
    </row>
    <row r="2353" spans="1:21" x14ac:dyDescent="0.3">
      <c r="A2353" t="str">
        <f>"290030030"</f>
        <v>290030030</v>
      </c>
      <c r="B2353" t="str">
        <f>"319 294 971 00076"</f>
        <v>319 294 971 00076</v>
      </c>
      <c r="D2353" t="str">
        <f>"CDS INFIRMIER ST PIERRE-ARCHIPEL SANTE"</f>
        <v>CDS INFIRMIER ST PIERRE-ARCHIPEL SANTE</v>
      </c>
      <c r="F2353" t="str">
        <f>"233 RUE ANATOLE FRANCE"</f>
        <v>233 RUE ANATOLE FRANCE</v>
      </c>
      <c r="H2353" t="str">
        <f>"29200"</f>
        <v>29200</v>
      </c>
      <c r="I2353" t="str">
        <f>"BREST"</f>
        <v>BREST</v>
      </c>
      <c r="J2353" t="str">
        <f>"02 98 49 41 94 "</f>
        <v xml:space="preserve">02 98 49 41 94 </v>
      </c>
      <c r="K2353" t="str">
        <f>"02 98 49 43 17"</f>
        <v>02 98 49 43 17</v>
      </c>
      <c r="L2353" s="1">
        <v>36586</v>
      </c>
      <c r="M2353" t="str">
        <f t="shared" si="367"/>
        <v>124</v>
      </c>
      <c r="N2353" t="str">
        <f t="shared" si="368"/>
        <v>Centre de Santé</v>
      </c>
      <c r="O2353" t="str">
        <f>"60"</f>
        <v>60</v>
      </c>
      <c r="P2353" t="str">
        <f>"Association Loi 1901 non Reconnue d'Utilité Publique"</f>
        <v>Association Loi 1901 non Reconnue d'Utilité Publique</v>
      </c>
      <c r="Q2353" t="str">
        <f t="shared" si="371"/>
        <v>36</v>
      </c>
      <c r="R2353" t="str">
        <f t="shared" si="372"/>
        <v>Tarifs conventionnels assurance maladie</v>
      </c>
      <c r="U2353" t="str">
        <f>"290001338"</f>
        <v>290001338</v>
      </c>
    </row>
    <row r="2354" spans="1:21" x14ac:dyDescent="0.3">
      <c r="A2354" t="str">
        <f>"930018940"</f>
        <v>930018940</v>
      </c>
      <c r="B2354" t="str">
        <f>"421 194 093 00025"</f>
        <v>421 194 093 00025</v>
      </c>
      <c r="D2354" t="str">
        <f>"CDS MAURICE AUDIN"</f>
        <v>CDS MAURICE AUDIN</v>
      </c>
      <c r="F2354" t="str">
        <f>"23 ALLEE MAURICE AUDIN"</f>
        <v>23 ALLEE MAURICE AUDIN</v>
      </c>
      <c r="H2354" t="str">
        <f>"93390"</f>
        <v>93390</v>
      </c>
      <c r="I2354" t="str">
        <f>"CLICHY SOUS BOIS"</f>
        <v>CLICHY SOUS BOIS</v>
      </c>
      <c r="J2354" t="str">
        <f>"01 43 30 28 72 "</f>
        <v xml:space="preserve">01 43 30 28 72 </v>
      </c>
      <c r="K2354" t="str">
        <f>"01 43 51 14 49"</f>
        <v>01 43 51 14 49</v>
      </c>
      <c r="L2354" s="1">
        <v>36584</v>
      </c>
      <c r="M2354" t="str">
        <f t="shared" si="367"/>
        <v>124</v>
      </c>
      <c r="N2354" t="str">
        <f t="shared" si="368"/>
        <v>Centre de Santé</v>
      </c>
      <c r="O2354" t="str">
        <f>"60"</f>
        <v>60</v>
      </c>
      <c r="P2354" t="str">
        <f>"Association Loi 1901 non Reconnue d'Utilité Publique"</f>
        <v>Association Loi 1901 non Reconnue d'Utilité Publique</v>
      </c>
      <c r="Q2354" t="str">
        <f t="shared" si="371"/>
        <v>36</v>
      </c>
      <c r="R2354" t="str">
        <f t="shared" si="372"/>
        <v>Tarifs conventionnels assurance maladie</v>
      </c>
      <c r="U2354" t="str">
        <f>"930019096"</f>
        <v>930019096</v>
      </c>
    </row>
    <row r="2355" spans="1:21" x14ac:dyDescent="0.3">
      <c r="A2355" t="str">
        <f>"300011400"</f>
        <v>300011400</v>
      </c>
      <c r="B2355" t="str">
        <f>"813 179 793 00209"</f>
        <v>813 179 793 00209</v>
      </c>
      <c r="D2355" t="str">
        <f>"CDS DENTAIRE MFGS SSAM NIMES JAURES"</f>
        <v>CDS DENTAIRE MFGS SSAM NIMES JAURES</v>
      </c>
      <c r="F2355" t="str">
        <f>"61 AVENUE JEAN JAURES"</f>
        <v>61 AVENUE JEAN JAURES</v>
      </c>
      <c r="H2355" t="str">
        <f>"30900"</f>
        <v>30900</v>
      </c>
      <c r="I2355" t="str">
        <f>"NIMES"</f>
        <v>NIMES</v>
      </c>
      <c r="J2355" t="str">
        <f>"04 66 04 56 58 "</f>
        <v xml:space="preserve">04 66 04 56 58 </v>
      </c>
      <c r="L2355" s="1">
        <v>36526</v>
      </c>
      <c r="M2355" t="str">
        <f t="shared" si="367"/>
        <v>124</v>
      </c>
      <c r="N2355" t="str">
        <f t="shared" si="368"/>
        <v>Centre de Santé</v>
      </c>
      <c r="O2355" t="str">
        <f>"47"</f>
        <v>47</v>
      </c>
      <c r="P2355" t="str">
        <f>"Société Mutualiste"</f>
        <v>Société Mutualiste</v>
      </c>
      <c r="Q2355" t="str">
        <f t="shared" si="371"/>
        <v>36</v>
      </c>
      <c r="R2355" t="str">
        <f t="shared" si="372"/>
        <v>Tarifs conventionnels assurance maladie</v>
      </c>
      <c r="U2355" t="str">
        <f>"340023209"</f>
        <v>340023209</v>
      </c>
    </row>
    <row r="2356" spans="1:21" x14ac:dyDescent="0.3">
      <c r="A2356" t="str">
        <f>"750042285"</f>
        <v>750042285</v>
      </c>
      <c r="B2356" t="str">
        <f>"775 684 897 00017"</f>
        <v>775 684 897 00017</v>
      </c>
      <c r="D2356" t="str">
        <f>"CDS DE L INSTITUT PASTEUR"</f>
        <v>CDS DE L INSTITUT PASTEUR</v>
      </c>
      <c r="F2356" t="str">
        <f>"211 RUE DE VAUGIRARD"</f>
        <v>211 RUE DE VAUGIRARD</v>
      </c>
      <c r="H2356" t="str">
        <f>"75724"</f>
        <v>75724</v>
      </c>
      <c r="I2356" t="str">
        <f>"PARIS CEDEX 15"</f>
        <v>PARIS CEDEX 15</v>
      </c>
      <c r="J2356" t="str">
        <f>"01 40 61 38 62 "</f>
        <v xml:space="preserve">01 40 61 38 62 </v>
      </c>
      <c r="K2356" t="str">
        <f>"01 40 61 30 19"</f>
        <v>01 40 61 30 19</v>
      </c>
      <c r="L2356" s="1">
        <v>36508</v>
      </c>
      <c r="M2356" t="str">
        <f t="shared" si="367"/>
        <v>124</v>
      </c>
      <c r="N2356" t="str">
        <f t="shared" si="368"/>
        <v>Centre de Santé</v>
      </c>
      <c r="O2356" t="str">
        <f>"63"</f>
        <v>63</v>
      </c>
      <c r="P2356" t="str">
        <f>"Fondation"</f>
        <v>Fondation</v>
      </c>
      <c r="Q2356" t="str">
        <f t="shared" si="371"/>
        <v>36</v>
      </c>
      <c r="R2356" t="str">
        <f t="shared" si="372"/>
        <v>Tarifs conventionnels assurance maladie</v>
      </c>
      <c r="U2356" t="str">
        <f>"750804908"</f>
        <v>750804908</v>
      </c>
    </row>
    <row r="2357" spans="1:21" x14ac:dyDescent="0.3">
      <c r="A2357" t="str">
        <f>"050006766"</f>
        <v>050006766</v>
      </c>
      <c r="B2357" t="str">
        <f>"391 642 113 00172"</f>
        <v>391 642 113 00172</v>
      </c>
      <c r="D2357" t="str">
        <f>"CDS DENTAIRE DE BRIANCON"</f>
        <v>CDS DENTAIRE DE BRIANCON</v>
      </c>
      <c r="F2357" t="str">
        <f>"18 AVENUE MAURICE PETSCHE"</f>
        <v>18 AVENUE MAURICE PETSCHE</v>
      </c>
      <c r="H2357" t="str">
        <f>"05100"</f>
        <v>05100</v>
      </c>
      <c r="I2357" t="str">
        <f>"BRIANCON"</f>
        <v>BRIANCON</v>
      </c>
      <c r="J2357" t="str">
        <f>"04 92 22 38 49 "</f>
        <v xml:space="preserve">04 92 22 38 49 </v>
      </c>
      <c r="K2357" t="str">
        <f>"04 92 22 38 45"</f>
        <v>04 92 22 38 45</v>
      </c>
      <c r="L2357" s="1">
        <v>36507</v>
      </c>
      <c r="M2357" t="str">
        <f t="shared" si="367"/>
        <v>124</v>
      </c>
      <c r="N2357" t="str">
        <f t="shared" si="368"/>
        <v>Centre de Santé</v>
      </c>
      <c r="O2357" t="str">
        <f>"47"</f>
        <v>47</v>
      </c>
      <c r="P2357" t="str">
        <f>"Société Mutualiste"</f>
        <v>Société Mutualiste</v>
      </c>
      <c r="Q2357" t="str">
        <f t="shared" si="371"/>
        <v>36</v>
      </c>
      <c r="R2357" t="str">
        <f t="shared" si="372"/>
        <v>Tarifs conventionnels assurance maladie</v>
      </c>
      <c r="U2357" t="str">
        <f>"050006741"</f>
        <v>050006741</v>
      </c>
    </row>
    <row r="2358" spans="1:21" x14ac:dyDescent="0.3">
      <c r="A2358" t="str">
        <f>"210010211"</f>
        <v>210010211</v>
      </c>
      <c r="B2358" t="str">
        <f>"775 567 761 00314"</f>
        <v>775 567 761 00314</v>
      </c>
      <c r="D2358" t="str">
        <f>"CENTRE DE SANTE DENTAIRE MUTUALISTE"</f>
        <v>CENTRE DE SANTE DENTAIRE MUTUALISTE</v>
      </c>
      <c r="F2358" t="str">
        <f>"9 RUE DU TEMPLE"</f>
        <v>9 RUE DU TEMPLE</v>
      </c>
      <c r="H2358" t="str">
        <f>"21000"</f>
        <v>21000</v>
      </c>
      <c r="I2358" t="str">
        <f>"DIJON"</f>
        <v>DIJON</v>
      </c>
      <c r="J2358" t="str">
        <f>"03 80 50 84 52 "</f>
        <v xml:space="preserve">03 80 50 84 52 </v>
      </c>
      <c r="K2358" t="str">
        <f>"03 80 50 84 53"</f>
        <v>03 80 50 84 53</v>
      </c>
      <c r="L2358" s="1">
        <v>36459</v>
      </c>
      <c r="M2358" t="str">
        <f t="shared" si="367"/>
        <v>124</v>
      </c>
      <c r="N2358" t="str">
        <f t="shared" si="368"/>
        <v>Centre de Santé</v>
      </c>
      <c r="O2358" t="str">
        <f>"47"</f>
        <v>47</v>
      </c>
      <c r="P2358" t="str">
        <f>"Société Mutualiste"</f>
        <v>Société Mutualiste</v>
      </c>
      <c r="Q2358" t="str">
        <f t="shared" si="371"/>
        <v>36</v>
      </c>
      <c r="R2358" t="str">
        <f t="shared" si="372"/>
        <v>Tarifs conventionnels assurance maladie</v>
      </c>
      <c r="U2358" t="str">
        <f>"210781266"</f>
        <v>210781266</v>
      </c>
    </row>
    <row r="2359" spans="1:21" x14ac:dyDescent="0.3">
      <c r="A2359" t="str">
        <f>"420782054"</f>
        <v>420782054</v>
      </c>
      <c r="B2359" t="str">
        <f>"305 916 819 00058"</f>
        <v>305 916 819 00058</v>
      </c>
      <c r="D2359" t="str">
        <f>"CENTRE DE SANTE CANTON BOURG-ARGENTAL"</f>
        <v>CENTRE DE SANTE CANTON BOURG-ARGENTAL</v>
      </c>
      <c r="F2359" t="str">
        <f>"2 RUE DU POISOR"</f>
        <v>2 RUE DU POISOR</v>
      </c>
      <c r="H2359" t="str">
        <f>"42220"</f>
        <v>42220</v>
      </c>
      <c r="I2359" t="str">
        <f>"BOURG ARGENTAL"</f>
        <v>BOURG ARGENTAL</v>
      </c>
      <c r="J2359" t="str">
        <f>"04 77 39 64 16 "</f>
        <v xml:space="preserve">04 77 39 64 16 </v>
      </c>
      <c r="K2359" t="str">
        <f>"04 77 39 60 83"</f>
        <v>04 77 39 60 83</v>
      </c>
      <c r="L2359" s="1">
        <v>36434</v>
      </c>
      <c r="M2359" t="str">
        <f t="shared" si="367"/>
        <v>124</v>
      </c>
      <c r="N2359" t="str">
        <f t="shared" si="368"/>
        <v>Centre de Santé</v>
      </c>
      <c r="O2359" t="str">
        <f>"60"</f>
        <v>60</v>
      </c>
      <c r="P2359" t="str">
        <f>"Association Loi 1901 non Reconnue d'Utilité Publique"</f>
        <v>Association Loi 1901 non Reconnue d'Utilité Publique</v>
      </c>
      <c r="Q2359" t="str">
        <f t="shared" si="371"/>
        <v>36</v>
      </c>
      <c r="R2359" t="str">
        <f t="shared" si="372"/>
        <v>Tarifs conventionnels assurance maladie</v>
      </c>
      <c r="U2359" t="str">
        <f>"420011520"</f>
        <v>420011520</v>
      </c>
    </row>
    <row r="2360" spans="1:21" x14ac:dyDescent="0.3">
      <c r="A2360" t="str">
        <f>"520003047"</f>
        <v>520003047</v>
      </c>
      <c r="B2360" t="str">
        <f>"780 349 833 00209"</f>
        <v>780 349 833 00209</v>
      </c>
      <c r="D2360" t="str">
        <f>"CENTRE DE SANTE DENTAIRE MUTUALISTE"</f>
        <v>CENTRE DE SANTE DENTAIRE MUTUALISTE</v>
      </c>
      <c r="F2360" t="str">
        <f>"5 BOULEVARD MAL DE LATTRE DE TASSIGNY"</f>
        <v>5 BOULEVARD MAL DE LATTRE DE TASSIGNY</v>
      </c>
      <c r="H2360" t="str">
        <f>"52200"</f>
        <v>52200</v>
      </c>
      <c r="I2360" t="str">
        <f>"LANGRES"</f>
        <v>LANGRES</v>
      </c>
      <c r="J2360" t="str">
        <f>"03 25 88 79 41 "</f>
        <v xml:space="preserve">03 25 88 79 41 </v>
      </c>
      <c r="L2360" s="1">
        <v>36375</v>
      </c>
      <c r="M2360" t="str">
        <f t="shared" si="367"/>
        <v>124</v>
      </c>
      <c r="N2360" t="str">
        <f t="shared" si="368"/>
        <v>Centre de Santé</v>
      </c>
      <c r="O2360" t="str">
        <f>"47"</f>
        <v>47</v>
      </c>
      <c r="P2360" t="str">
        <f>"Société Mutualiste"</f>
        <v>Société Mutualiste</v>
      </c>
      <c r="Q2360" t="str">
        <f t="shared" si="371"/>
        <v>36</v>
      </c>
      <c r="R2360" t="str">
        <f t="shared" si="372"/>
        <v>Tarifs conventionnels assurance maladie</v>
      </c>
      <c r="U2360" t="str">
        <f>"510024581"</f>
        <v>510024581</v>
      </c>
    </row>
    <row r="2361" spans="1:21" x14ac:dyDescent="0.3">
      <c r="A2361" t="str">
        <f>"810009555"</f>
        <v>810009555</v>
      </c>
      <c r="B2361" t="str">
        <f>"775 711 674 00470"</f>
        <v>775 711 674 00470</v>
      </c>
      <c r="D2361" t="str">
        <f>"CTRE DENT MUT ALBI BD SOULT"</f>
        <v>CTRE DENT MUT ALBI BD SOULT</v>
      </c>
      <c r="F2361" t="str">
        <f>"13 BOULEVARD SOULT"</f>
        <v>13 BOULEVARD SOULT</v>
      </c>
      <c r="H2361" t="str">
        <f>"81000"</f>
        <v>81000</v>
      </c>
      <c r="I2361" t="str">
        <f>"ALBI"</f>
        <v>ALBI</v>
      </c>
      <c r="J2361" t="str">
        <f>"05 63 48 28 70 "</f>
        <v xml:space="preserve">05 63 48 28 70 </v>
      </c>
      <c r="K2361" t="str">
        <f>"05 63 48 34 94"</f>
        <v>05 63 48 34 94</v>
      </c>
      <c r="L2361" s="1">
        <v>36351</v>
      </c>
      <c r="M2361" t="str">
        <f t="shared" si="367"/>
        <v>124</v>
      </c>
      <c r="N2361" t="str">
        <f t="shared" si="368"/>
        <v>Centre de Santé</v>
      </c>
      <c r="O2361" t="str">
        <f>"47"</f>
        <v>47</v>
      </c>
      <c r="P2361" t="str">
        <f>"Société Mutualiste"</f>
        <v>Société Mutualiste</v>
      </c>
      <c r="Q2361" t="str">
        <f t="shared" si="371"/>
        <v>36</v>
      </c>
      <c r="R2361" t="str">
        <f t="shared" si="372"/>
        <v>Tarifs conventionnels assurance maladie</v>
      </c>
      <c r="U2361" t="str">
        <f>"810099903"</f>
        <v>810099903</v>
      </c>
    </row>
    <row r="2362" spans="1:21" x14ac:dyDescent="0.3">
      <c r="A2362" t="str">
        <f>"690806468"</f>
        <v>690806468</v>
      </c>
      <c r="B2362" t="str">
        <f>"775 648 223 00748"</f>
        <v>775 648 223 00748</v>
      </c>
      <c r="D2362" t="str">
        <f>"CENTRE DE SANTE DENTAIRE"</f>
        <v>CENTRE DE SANTE DENTAIRE</v>
      </c>
      <c r="F2362" t="str">
        <f>"361 RUE DES JARDINIERS"</f>
        <v>361 RUE DES JARDINIERS</v>
      </c>
      <c r="H2362" t="str">
        <f>"69400"</f>
        <v>69400</v>
      </c>
      <c r="I2362" t="str">
        <f>"VILLEFRANCHE SUR SAONE"</f>
        <v>VILLEFRANCHE SUR SAONE</v>
      </c>
      <c r="J2362" t="str">
        <f>"04 72 56 02 05 "</f>
        <v xml:space="preserve">04 72 56 02 05 </v>
      </c>
      <c r="K2362" t="str">
        <f>"04 74 09 48 60"</f>
        <v>04 74 09 48 60</v>
      </c>
      <c r="L2362" s="1">
        <v>36342</v>
      </c>
      <c r="M2362" t="str">
        <f t="shared" si="367"/>
        <v>124</v>
      </c>
      <c r="N2362" t="str">
        <f t="shared" si="368"/>
        <v>Centre de Santé</v>
      </c>
      <c r="O2362" t="str">
        <f>"47"</f>
        <v>47</v>
      </c>
      <c r="P2362" t="str">
        <f>"Société Mutualiste"</f>
        <v>Société Mutualiste</v>
      </c>
      <c r="Q2362" t="str">
        <f t="shared" si="371"/>
        <v>36</v>
      </c>
      <c r="R2362" t="str">
        <f t="shared" si="372"/>
        <v>Tarifs conventionnels assurance maladie</v>
      </c>
      <c r="U2362" t="str">
        <f>"690796602"</f>
        <v>690796602</v>
      </c>
    </row>
    <row r="2363" spans="1:21" x14ac:dyDescent="0.3">
      <c r="A2363" t="str">
        <f>"290030055"</f>
        <v>290030055</v>
      </c>
      <c r="B2363" t="str">
        <f>"319 294 971 00043"</f>
        <v>319 294 971 00043</v>
      </c>
      <c r="D2363" t="str">
        <f>"CDS INFIRMIER DE LAMBEZELLEC"</f>
        <v>CDS INFIRMIER DE LAMBEZELLEC</v>
      </c>
      <c r="F2363" t="str">
        <f>"6 RUE ROBESPIERRE"</f>
        <v>6 RUE ROBESPIERRE</v>
      </c>
      <c r="H2363" t="str">
        <f>"29200"</f>
        <v>29200</v>
      </c>
      <c r="I2363" t="str">
        <f>"BREST"</f>
        <v>BREST</v>
      </c>
      <c r="J2363" t="str">
        <f>"02 98 47 06 42 "</f>
        <v xml:space="preserve">02 98 47 06 42 </v>
      </c>
      <c r="L2363" s="1">
        <v>36312</v>
      </c>
      <c r="M2363" t="str">
        <f t="shared" si="367"/>
        <v>124</v>
      </c>
      <c r="N2363" t="str">
        <f t="shared" si="368"/>
        <v>Centre de Santé</v>
      </c>
      <c r="O2363" t="str">
        <f>"60"</f>
        <v>60</v>
      </c>
      <c r="P2363" t="str">
        <f>"Association Loi 1901 non Reconnue d'Utilité Publique"</f>
        <v>Association Loi 1901 non Reconnue d'Utilité Publique</v>
      </c>
      <c r="Q2363" t="str">
        <f t="shared" si="371"/>
        <v>36</v>
      </c>
      <c r="R2363" t="str">
        <f t="shared" si="372"/>
        <v>Tarifs conventionnels assurance maladie</v>
      </c>
      <c r="U2363" t="str">
        <f>"290001338"</f>
        <v>290001338</v>
      </c>
    </row>
    <row r="2364" spans="1:21" x14ac:dyDescent="0.3">
      <c r="A2364" t="str">
        <f>"420782401"</f>
        <v>420782401</v>
      </c>
      <c r="B2364" t="str">
        <f>"300 899 937 00035"</f>
        <v>300 899 937 00035</v>
      </c>
      <c r="D2364" t="str">
        <f>"CENTRE DE SANTE CHAMBON-FEUGEROLLES"</f>
        <v>CENTRE DE SANTE CHAMBON-FEUGEROLLES</v>
      </c>
      <c r="F2364" t="str">
        <f>"20 RUE DE LA REPUBLIQUE"</f>
        <v>20 RUE DE LA REPUBLIQUE</v>
      </c>
      <c r="H2364" t="str">
        <f>"42500"</f>
        <v>42500</v>
      </c>
      <c r="I2364" t="str">
        <f>"LE CHAMBON FEUGEROLLES"</f>
        <v>LE CHAMBON FEUGEROLLES</v>
      </c>
      <c r="J2364" t="str">
        <f>"04 77 10 19 10 "</f>
        <v xml:space="preserve">04 77 10 19 10 </v>
      </c>
      <c r="K2364" t="str">
        <f>"04 77 10 19 19"</f>
        <v>04 77 10 19 19</v>
      </c>
      <c r="L2364" s="1">
        <v>36312</v>
      </c>
      <c r="M2364" t="str">
        <f t="shared" si="367"/>
        <v>124</v>
      </c>
      <c r="N2364" t="str">
        <f t="shared" si="368"/>
        <v>Centre de Santé</v>
      </c>
      <c r="O2364" t="str">
        <f>"60"</f>
        <v>60</v>
      </c>
      <c r="P2364" t="str">
        <f>"Association Loi 1901 non Reconnue d'Utilité Publique"</f>
        <v>Association Loi 1901 non Reconnue d'Utilité Publique</v>
      </c>
      <c r="Q2364" t="str">
        <f t="shared" si="371"/>
        <v>36</v>
      </c>
      <c r="R2364" t="str">
        <f t="shared" si="372"/>
        <v>Tarifs conventionnels assurance maladie</v>
      </c>
      <c r="U2364" t="str">
        <f>"420000861"</f>
        <v>420000861</v>
      </c>
    </row>
    <row r="2365" spans="1:21" x14ac:dyDescent="0.3">
      <c r="A2365" t="str">
        <f>"760025494"</f>
        <v>760025494</v>
      </c>
      <c r="B2365" t="str">
        <f>"794 994 277 01453"</f>
        <v>794 994 277 01453</v>
      </c>
      <c r="D2365" t="str">
        <f>"CLINIQUE DENTAIRE MUTUALISTE"</f>
        <v>CLINIQUE DENTAIRE MUTUALISTE</v>
      </c>
      <c r="F2365" t="str">
        <f>"16 RUE DU CHATEAU"</f>
        <v>16 RUE DU CHATEAU</v>
      </c>
      <c r="H2365" t="str">
        <f>"76190"</f>
        <v>76190</v>
      </c>
      <c r="I2365" t="str">
        <f>"YVETOT"</f>
        <v>YVETOT</v>
      </c>
      <c r="J2365" t="str">
        <f>"02 32 70 46 79 "</f>
        <v xml:space="preserve">02 32 70 46 79 </v>
      </c>
      <c r="L2365" s="1">
        <v>36298</v>
      </c>
      <c r="M2365" t="str">
        <f t="shared" si="367"/>
        <v>124</v>
      </c>
      <c r="N2365" t="str">
        <f t="shared" si="368"/>
        <v>Centre de Santé</v>
      </c>
      <c r="O2365" t="str">
        <f>"47"</f>
        <v>47</v>
      </c>
      <c r="P2365" t="str">
        <f>"Société Mutualiste"</f>
        <v>Société Mutualiste</v>
      </c>
      <c r="Q2365" t="str">
        <f t="shared" si="371"/>
        <v>36</v>
      </c>
      <c r="R2365" t="str">
        <f t="shared" si="372"/>
        <v>Tarifs conventionnels assurance maladie</v>
      </c>
      <c r="U2365" t="str">
        <f>"760000539"</f>
        <v>760000539</v>
      </c>
    </row>
    <row r="2366" spans="1:21" x14ac:dyDescent="0.3">
      <c r="A2366" t="str">
        <f>"940020191"</f>
        <v>940020191</v>
      </c>
      <c r="D2366" t="str">
        <f>"CDS PIERRE ROUQUES SITE BARBUSSE"</f>
        <v>CDS PIERRE ROUQUES SITE BARBUSSE</v>
      </c>
      <c r="F2366" t="str">
        <f>"49 RUE HENRI BARBUSSE"</f>
        <v>49 RUE HENRI BARBUSSE</v>
      </c>
      <c r="H2366" t="str">
        <f>"94800"</f>
        <v>94800</v>
      </c>
      <c r="I2366" t="str">
        <f>"VILLEJUIF"</f>
        <v>VILLEJUIF</v>
      </c>
      <c r="J2366" t="str">
        <f>"01 53 14 10 90 "</f>
        <v xml:space="preserve">01 53 14 10 90 </v>
      </c>
      <c r="K2366" t="str">
        <f>"01 53 14 10 94"</f>
        <v>01 53 14 10 94</v>
      </c>
      <c r="L2366" s="1">
        <v>36291</v>
      </c>
      <c r="M2366" t="str">
        <f t="shared" si="367"/>
        <v>124</v>
      </c>
      <c r="N2366" t="str">
        <f t="shared" si="368"/>
        <v>Centre de Santé</v>
      </c>
      <c r="O2366" t="str">
        <f>"03"</f>
        <v>03</v>
      </c>
      <c r="P2366" t="str">
        <f>"Commune"</f>
        <v>Commune</v>
      </c>
      <c r="Q2366" t="str">
        <f t="shared" si="371"/>
        <v>36</v>
      </c>
      <c r="R2366" t="str">
        <f t="shared" si="372"/>
        <v>Tarifs conventionnels assurance maladie</v>
      </c>
      <c r="U2366" t="str">
        <f>"940806771"</f>
        <v>940806771</v>
      </c>
    </row>
    <row r="2367" spans="1:21" x14ac:dyDescent="0.3">
      <c r="A2367" t="str">
        <f>"030006142"</f>
        <v>030006142</v>
      </c>
      <c r="B2367" t="str">
        <f>"130 028 061 00096"</f>
        <v>130 028 061 00096</v>
      </c>
      <c r="D2367" t="str">
        <f>"SSU - MONTLUCON"</f>
        <v>SSU - MONTLUCON</v>
      </c>
      <c r="E2367" t="str">
        <f>"I.U.T.DE MONTLUCON"</f>
        <v>I.U.T.DE MONTLUCON</v>
      </c>
      <c r="F2367" t="str">
        <f>"8 AVENUE ARISTIDE BRIAND"</f>
        <v>8 AVENUE ARISTIDE BRIAND</v>
      </c>
      <c r="G2367" t="str">
        <f>"BP 2335"</f>
        <v>BP 2335</v>
      </c>
      <c r="H2367" t="str">
        <f>"03100"</f>
        <v>03100</v>
      </c>
      <c r="I2367" t="str">
        <f>"MONTLUCON"</f>
        <v>MONTLUCON</v>
      </c>
      <c r="J2367" t="str">
        <f>"04 70 02 20 12 "</f>
        <v xml:space="preserve">04 70 02 20 12 </v>
      </c>
      <c r="L2367" s="1">
        <v>36256</v>
      </c>
      <c r="M2367" t="str">
        <f t="shared" si="367"/>
        <v>124</v>
      </c>
      <c r="N2367" t="str">
        <f t="shared" si="368"/>
        <v>Centre de Santé</v>
      </c>
      <c r="O2367" t="str">
        <f>"26"</f>
        <v>26</v>
      </c>
      <c r="P2367" t="str">
        <f>"Autre Etablissement Public à Caractère Administratif"</f>
        <v>Autre Etablissement Public à Caractère Administratif</v>
      </c>
      <c r="Q2367" t="str">
        <f t="shared" si="371"/>
        <v>36</v>
      </c>
      <c r="R2367" t="str">
        <f t="shared" si="372"/>
        <v>Tarifs conventionnels assurance maladie</v>
      </c>
      <c r="U2367" t="str">
        <f>"630009785"</f>
        <v>630009785</v>
      </c>
    </row>
    <row r="2368" spans="1:21" x14ac:dyDescent="0.3">
      <c r="A2368" t="str">
        <f>"150003143"</f>
        <v>150003143</v>
      </c>
      <c r="B2368" t="str">
        <f>"130 028 061 00187"</f>
        <v>130 028 061 00187</v>
      </c>
      <c r="D2368" t="str">
        <f>"SSU - ANTENNE UNIVERSITAIRE AURILLAC"</f>
        <v>SSU - ANTENNE UNIVERSITAIRE AURILLAC</v>
      </c>
      <c r="E2368" t="str">
        <f>"INFIRMERIE"</f>
        <v>INFIRMERIE</v>
      </c>
      <c r="F2368" t="str">
        <f>"25 RUE DE L'ECOLE NORMALE"</f>
        <v>25 RUE DE L'ECOLE NORMALE</v>
      </c>
      <c r="H2368" t="str">
        <f>"15000"</f>
        <v>15000</v>
      </c>
      <c r="I2368" t="str">
        <f>"AURILLAC"</f>
        <v>AURILLAC</v>
      </c>
      <c r="J2368" t="str">
        <f>"04 71 46 85 73 "</f>
        <v xml:space="preserve">04 71 46 85 73 </v>
      </c>
      <c r="L2368" s="1">
        <v>36256</v>
      </c>
      <c r="M2368" t="str">
        <f t="shared" si="367"/>
        <v>124</v>
      </c>
      <c r="N2368" t="str">
        <f t="shared" si="368"/>
        <v>Centre de Santé</v>
      </c>
      <c r="O2368" t="str">
        <f>"26"</f>
        <v>26</v>
      </c>
      <c r="P2368" t="str">
        <f>"Autre Etablissement Public à Caractère Administratif"</f>
        <v>Autre Etablissement Public à Caractère Administratif</v>
      </c>
      <c r="Q2368" t="str">
        <f t="shared" si="371"/>
        <v>36</v>
      </c>
      <c r="R2368" t="str">
        <f t="shared" si="372"/>
        <v>Tarifs conventionnels assurance maladie</v>
      </c>
      <c r="U2368" t="str">
        <f>"630009785"</f>
        <v>630009785</v>
      </c>
    </row>
    <row r="2369" spans="1:21" x14ac:dyDescent="0.3">
      <c r="A2369" t="str">
        <f>"430008417"</f>
        <v>430008417</v>
      </c>
      <c r="B2369" t="str">
        <f>"130 028 061 00245"</f>
        <v>130 028 061 00245</v>
      </c>
      <c r="D2369" t="str">
        <f>"SSU - ANTENNE UNIVERSITAIRE DE PUY"</f>
        <v>SSU - ANTENNE UNIVERSITAIRE DE PUY</v>
      </c>
      <c r="E2369" t="str">
        <f>"INFIRMERIE"</f>
        <v>INFIRMERIE</v>
      </c>
      <c r="F2369" t="str">
        <f>"8 RUE JEAN-BAPTISTE FABRE"</f>
        <v>8 RUE JEAN-BAPTISTE FABRE</v>
      </c>
      <c r="G2369" t="str">
        <f>"BP 219"</f>
        <v>BP 219</v>
      </c>
      <c r="H2369" t="str">
        <f>"43006"</f>
        <v>43006</v>
      </c>
      <c r="I2369" t="str">
        <f>"LE PUY EN VELAY CEDEX"</f>
        <v>LE PUY EN VELAY CEDEX</v>
      </c>
      <c r="J2369" t="str">
        <f>"04 71 09 90 54 "</f>
        <v xml:space="preserve">04 71 09 90 54 </v>
      </c>
      <c r="L2369" s="1">
        <v>36256</v>
      </c>
      <c r="M2369" t="str">
        <f t="shared" si="367"/>
        <v>124</v>
      </c>
      <c r="N2369" t="str">
        <f t="shared" si="368"/>
        <v>Centre de Santé</v>
      </c>
      <c r="O2369" t="str">
        <f>"26"</f>
        <v>26</v>
      </c>
      <c r="P2369" t="str">
        <f>"Autre Etablissement Public à Caractère Administratif"</f>
        <v>Autre Etablissement Public à Caractère Administratif</v>
      </c>
      <c r="Q2369" t="str">
        <f t="shared" si="371"/>
        <v>36</v>
      </c>
      <c r="R2369" t="str">
        <f t="shared" si="372"/>
        <v>Tarifs conventionnels assurance maladie</v>
      </c>
      <c r="U2369" t="str">
        <f>"630009785"</f>
        <v>630009785</v>
      </c>
    </row>
    <row r="2370" spans="1:21" x14ac:dyDescent="0.3">
      <c r="A2370" t="str">
        <f>"290030063"</f>
        <v>290030063</v>
      </c>
      <c r="B2370" t="str">
        <f>"319 294 971 00043"</f>
        <v>319 294 971 00043</v>
      </c>
      <c r="D2370" t="str">
        <f>"CDS INFIRMIER ST MARC"</f>
        <v>CDS INFIRMIER ST MARC</v>
      </c>
      <c r="F2370" t="str">
        <f>"158 RUE DE VERDUN"</f>
        <v>158 RUE DE VERDUN</v>
      </c>
      <c r="H2370" t="str">
        <f>"29200"</f>
        <v>29200</v>
      </c>
      <c r="I2370" t="str">
        <f>"BREST"</f>
        <v>BREST</v>
      </c>
      <c r="J2370" t="str">
        <f>"02 98 02 08 77 "</f>
        <v xml:space="preserve">02 98 02 08 77 </v>
      </c>
      <c r="K2370" t="str">
        <f>"02 98 42 08 33"</f>
        <v>02 98 42 08 33</v>
      </c>
      <c r="L2370" s="1">
        <v>36251</v>
      </c>
      <c r="M2370" t="str">
        <f t="shared" ref="M2370:M2433" si="373">"124"</f>
        <v>124</v>
      </c>
      <c r="N2370" t="str">
        <f t="shared" ref="N2370:N2433" si="374">"Centre de Santé"</f>
        <v>Centre de Santé</v>
      </c>
      <c r="O2370" t="str">
        <f>"60"</f>
        <v>60</v>
      </c>
      <c r="P2370" t="str">
        <f>"Association Loi 1901 non Reconnue d'Utilité Publique"</f>
        <v>Association Loi 1901 non Reconnue d'Utilité Publique</v>
      </c>
      <c r="Q2370" t="str">
        <f t="shared" si="371"/>
        <v>36</v>
      </c>
      <c r="R2370" t="str">
        <f t="shared" si="372"/>
        <v>Tarifs conventionnels assurance maladie</v>
      </c>
      <c r="U2370" t="str">
        <f>"290001338"</f>
        <v>290001338</v>
      </c>
    </row>
    <row r="2371" spans="1:21" x14ac:dyDescent="0.3">
      <c r="A2371" t="str">
        <f>"600008742"</f>
        <v>600008742</v>
      </c>
      <c r="B2371" t="str">
        <f>"481 865 244 00018"</f>
        <v>481 865 244 00018</v>
      </c>
      <c r="D2371" t="str">
        <f>"CS  POLYVALENT DE THOUROTTE"</f>
        <v>CS  POLYVALENT DE THOUROTTE</v>
      </c>
      <c r="F2371" t="str">
        <f>"1 RUE DE VOGUE"</f>
        <v>1 RUE DE VOGUE</v>
      </c>
      <c r="H2371" t="str">
        <f>"60150"</f>
        <v>60150</v>
      </c>
      <c r="I2371" t="str">
        <f>"THOUROTTE"</f>
        <v>THOUROTTE</v>
      </c>
      <c r="J2371" t="str">
        <f>"03 44 76 74 04 "</f>
        <v xml:space="preserve">03 44 76 74 04 </v>
      </c>
      <c r="K2371" t="str">
        <f>"03 44 96 30 68"</f>
        <v>03 44 96 30 68</v>
      </c>
      <c r="L2371" s="1">
        <v>36245</v>
      </c>
      <c r="M2371" t="str">
        <f t="shared" si="373"/>
        <v>124</v>
      </c>
      <c r="N2371" t="str">
        <f t="shared" si="374"/>
        <v>Centre de Santé</v>
      </c>
      <c r="O2371" t="str">
        <f>"47"</f>
        <v>47</v>
      </c>
      <c r="P2371" t="str">
        <f>"Société Mutualiste"</f>
        <v>Société Mutualiste</v>
      </c>
      <c r="Q2371" t="str">
        <f t="shared" si="371"/>
        <v>36</v>
      </c>
      <c r="R2371" t="str">
        <f t="shared" si="372"/>
        <v>Tarifs conventionnels assurance maladie</v>
      </c>
      <c r="U2371" t="str">
        <f>"600007934"</f>
        <v>600007934</v>
      </c>
    </row>
    <row r="2372" spans="1:21" x14ac:dyDescent="0.3">
      <c r="A2372" t="str">
        <f>"560022873"</f>
        <v>560022873</v>
      </c>
      <c r="B2372" t="str">
        <f>"342 719 960 00029"</f>
        <v>342 719 960 00029</v>
      </c>
      <c r="D2372" t="str">
        <f>"CDS INFIRMIERS ADMR DE PLUMELIAU"</f>
        <v>CDS INFIRMIERS ADMR DE PLUMELIAU</v>
      </c>
      <c r="F2372" t="str">
        <f>"2 RUE HENRI GILLET"</f>
        <v>2 RUE HENRI GILLET</v>
      </c>
      <c r="H2372" t="str">
        <f>"56930"</f>
        <v>56930</v>
      </c>
      <c r="I2372" t="str">
        <f>"PLUMELIAU BIEUZY"</f>
        <v>PLUMELIAU BIEUZY</v>
      </c>
      <c r="J2372" t="str">
        <f>"02 97 51 80 47 "</f>
        <v xml:space="preserve">02 97 51 80 47 </v>
      </c>
      <c r="K2372" t="str">
        <f>"02 97 51 95 44"</f>
        <v>02 97 51 95 44</v>
      </c>
      <c r="L2372" s="1">
        <v>36227</v>
      </c>
      <c r="M2372" t="str">
        <f t="shared" si="373"/>
        <v>124</v>
      </c>
      <c r="N2372" t="str">
        <f t="shared" si="374"/>
        <v>Centre de Santé</v>
      </c>
      <c r="O2372" t="str">
        <f>"60"</f>
        <v>60</v>
      </c>
      <c r="P2372" t="str">
        <f>"Association Loi 1901 non Reconnue d'Utilité Publique"</f>
        <v>Association Loi 1901 non Reconnue d'Utilité Publique</v>
      </c>
      <c r="Q2372" t="str">
        <f t="shared" si="371"/>
        <v>36</v>
      </c>
      <c r="R2372" t="str">
        <f t="shared" si="372"/>
        <v>Tarifs conventionnels assurance maladie</v>
      </c>
      <c r="U2372" t="str">
        <f>"560022865"</f>
        <v>560022865</v>
      </c>
    </row>
    <row r="2373" spans="1:21" x14ac:dyDescent="0.3">
      <c r="A2373" t="str">
        <f>"560022907"</f>
        <v>560022907</v>
      </c>
      <c r="B2373" t="str">
        <f>"312 814 486 00022"</f>
        <v>312 814 486 00022</v>
      </c>
      <c r="D2373" t="str">
        <f>"CDS INFIRMIER ADMR DE PEILLAC"</f>
        <v>CDS INFIRMIER ADMR DE PEILLAC</v>
      </c>
      <c r="F2373" t="str">
        <f>"13 PLACE DE L'EGLISE"</f>
        <v>13 PLACE DE L'EGLISE</v>
      </c>
      <c r="H2373" t="str">
        <f>"56220"</f>
        <v>56220</v>
      </c>
      <c r="I2373" t="str">
        <f>"PEILLAC"</f>
        <v>PEILLAC</v>
      </c>
      <c r="J2373" t="str">
        <f>"02 99 91 30 76 "</f>
        <v xml:space="preserve">02 99 91 30 76 </v>
      </c>
      <c r="K2373" t="str">
        <f>"02 99 91 22 04"</f>
        <v>02 99 91 22 04</v>
      </c>
      <c r="L2373" s="1">
        <v>36227</v>
      </c>
      <c r="M2373" t="str">
        <f t="shared" si="373"/>
        <v>124</v>
      </c>
      <c r="N2373" t="str">
        <f t="shared" si="374"/>
        <v>Centre de Santé</v>
      </c>
      <c r="O2373" t="str">
        <f>"60"</f>
        <v>60</v>
      </c>
      <c r="P2373" t="str">
        <f>"Association Loi 1901 non Reconnue d'Utilité Publique"</f>
        <v>Association Loi 1901 non Reconnue d'Utilité Publique</v>
      </c>
      <c r="Q2373" t="str">
        <f t="shared" si="371"/>
        <v>36</v>
      </c>
      <c r="R2373" t="str">
        <f t="shared" si="372"/>
        <v>Tarifs conventionnels assurance maladie</v>
      </c>
      <c r="U2373" t="str">
        <f>"560022881"</f>
        <v>560022881</v>
      </c>
    </row>
    <row r="2374" spans="1:21" x14ac:dyDescent="0.3">
      <c r="A2374" t="str">
        <f>"950013946"</f>
        <v>950013946</v>
      </c>
      <c r="B2374" t="str">
        <f>"784 809 642 00225"</f>
        <v>784 809 642 00225</v>
      </c>
      <c r="D2374" t="str">
        <f>"CDS DENTAIRE D ARGENTEUIL"</f>
        <v>CDS DENTAIRE D ARGENTEUIL</v>
      </c>
      <c r="F2374" t="str">
        <f>"124 AVENUE JEAN JAURES"</f>
        <v>124 AVENUE JEAN JAURES</v>
      </c>
      <c r="H2374" t="str">
        <f>"95100"</f>
        <v>95100</v>
      </c>
      <c r="I2374" t="str">
        <f>"ARGENTEUIL"</f>
        <v>ARGENTEUIL</v>
      </c>
      <c r="J2374" t="str">
        <f>"01 34 11 01 59 "</f>
        <v xml:space="preserve">01 34 11 01 59 </v>
      </c>
      <c r="K2374" t="str">
        <f>"01 34 10 12 35"</f>
        <v>01 34 10 12 35</v>
      </c>
      <c r="L2374" s="1">
        <v>36206</v>
      </c>
      <c r="M2374" t="str">
        <f t="shared" si="373"/>
        <v>124</v>
      </c>
      <c r="N2374" t="str">
        <f t="shared" si="374"/>
        <v>Centre de Santé</v>
      </c>
      <c r="O2374" t="str">
        <f>"47"</f>
        <v>47</v>
      </c>
      <c r="P2374" t="str">
        <f>"Société Mutualiste"</f>
        <v>Société Mutualiste</v>
      </c>
      <c r="Q2374" t="str">
        <f t="shared" si="371"/>
        <v>36</v>
      </c>
      <c r="R2374" t="str">
        <f t="shared" si="372"/>
        <v>Tarifs conventionnels assurance maladie</v>
      </c>
      <c r="U2374" t="str">
        <f>"750814865"</f>
        <v>750814865</v>
      </c>
    </row>
    <row r="2375" spans="1:21" x14ac:dyDescent="0.3">
      <c r="A2375" t="str">
        <f>"630009793"</f>
        <v>630009793</v>
      </c>
      <c r="B2375" t="str">
        <f>"130 028 061 00229"</f>
        <v>130 028 061 00229</v>
      </c>
      <c r="D2375" t="str">
        <f>"SSU - ETIENNE DOLET"</f>
        <v>SSU - ETIENNE DOLET</v>
      </c>
      <c r="E2375" t="str">
        <f>"SERVICE DE SANTE UNIVERSITAIRE"</f>
        <v>SERVICE DE SANTE UNIVERSITAIRE</v>
      </c>
      <c r="F2375" t="str">
        <f>"25 RUE ETIENNE DOLET"</f>
        <v>25 RUE ETIENNE DOLET</v>
      </c>
      <c r="H2375" t="str">
        <f>"63057"</f>
        <v>63057</v>
      </c>
      <c r="I2375" t="str">
        <f>"CLERMONT FERRAND CEDEX 1"</f>
        <v>CLERMONT FERRAND CEDEX 1</v>
      </c>
      <c r="J2375" t="str">
        <f>"04 73 34 97 20 "</f>
        <v xml:space="preserve">04 73 34 97 20 </v>
      </c>
      <c r="K2375" t="str">
        <f>"04 73 34 97 29"</f>
        <v>04 73 34 97 29</v>
      </c>
      <c r="L2375" s="1">
        <v>36201</v>
      </c>
      <c r="M2375" t="str">
        <f t="shared" si="373"/>
        <v>124</v>
      </c>
      <c r="N2375" t="str">
        <f t="shared" si="374"/>
        <v>Centre de Santé</v>
      </c>
      <c r="O2375" t="str">
        <f>"26"</f>
        <v>26</v>
      </c>
      <c r="P2375" t="str">
        <f>"Autre Etablissement Public à Caractère Administratif"</f>
        <v>Autre Etablissement Public à Caractère Administratif</v>
      </c>
      <c r="Q2375" t="str">
        <f t="shared" si="371"/>
        <v>36</v>
      </c>
      <c r="R2375" t="str">
        <f t="shared" si="372"/>
        <v>Tarifs conventionnels assurance maladie</v>
      </c>
      <c r="U2375" t="str">
        <f>"630009785"</f>
        <v>630009785</v>
      </c>
    </row>
    <row r="2376" spans="1:21" x14ac:dyDescent="0.3">
      <c r="A2376" t="str">
        <f>"950015230"</f>
        <v>950015230</v>
      </c>
      <c r="D2376" t="str">
        <f>"CDS DENTAIRE CERGY"</f>
        <v>CDS DENTAIRE CERGY</v>
      </c>
      <c r="E2376" t="str">
        <f>"10/12"</f>
        <v>10/12</v>
      </c>
      <c r="F2376" t="str">
        <f>"10 PLACE DES CERCLADES"</f>
        <v>10 PLACE DES CERCLADES</v>
      </c>
      <c r="H2376" t="str">
        <f>"95000"</f>
        <v>95000</v>
      </c>
      <c r="I2376" t="str">
        <f>"CERGY"</f>
        <v>CERGY</v>
      </c>
      <c r="J2376" t="str">
        <f>"01 30 17 83 83 "</f>
        <v xml:space="preserve">01 30 17 83 83 </v>
      </c>
      <c r="K2376" t="str">
        <f>"01 30 17 83 90"</f>
        <v>01 30 17 83 90</v>
      </c>
      <c r="L2376" s="1">
        <v>36189</v>
      </c>
      <c r="M2376" t="str">
        <f t="shared" si="373"/>
        <v>124</v>
      </c>
      <c r="N2376" t="str">
        <f t="shared" si="374"/>
        <v>Centre de Santé</v>
      </c>
      <c r="O2376" t="str">
        <f>"60"</f>
        <v>60</v>
      </c>
      <c r="P2376" t="str">
        <f>"Association Loi 1901 non Reconnue d'Utilité Publique"</f>
        <v>Association Loi 1901 non Reconnue d'Utilité Publique</v>
      </c>
      <c r="Q2376" t="str">
        <f t="shared" si="371"/>
        <v>36</v>
      </c>
      <c r="R2376" t="str">
        <f t="shared" si="372"/>
        <v>Tarifs conventionnels assurance maladie</v>
      </c>
      <c r="U2376" t="str">
        <f>"750050767"</f>
        <v>750050767</v>
      </c>
    </row>
    <row r="2377" spans="1:21" x14ac:dyDescent="0.3">
      <c r="A2377" t="str">
        <f>"300780913"</f>
        <v>300780913</v>
      </c>
      <c r="B2377" t="str">
        <f>"512 611 781 00463"</f>
        <v>512 611 781 00463</v>
      </c>
      <c r="D2377" t="str">
        <f>"CENTRE DE SANTE DENTAIRE ALES"</f>
        <v>CENTRE DE SANTE DENTAIRE ALES</v>
      </c>
      <c r="F2377" t="str">
        <f>"28 QUAI BOISSIER DE SAUVAGES"</f>
        <v>28 QUAI BOISSIER DE SAUVAGES</v>
      </c>
      <c r="G2377" t="str">
        <f>"BP 75"</f>
        <v>BP 75</v>
      </c>
      <c r="H2377" t="str">
        <f>"30102"</f>
        <v>30102</v>
      </c>
      <c r="I2377" t="str">
        <f>"ALES CEDEX"</f>
        <v>ALES CEDEX</v>
      </c>
      <c r="J2377" t="str">
        <f>"04 66 56 26 26 "</f>
        <v xml:space="preserve">04 66 56 26 26 </v>
      </c>
      <c r="L2377" s="1">
        <v>36161</v>
      </c>
      <c r="M2377" t="str">
        <f t="shared" si="373"/>
        <v>124</v>
      </c>
      <c r="N2377" t="str">
        <f t="shared" si="374"/>
        <v>Centre de Santé</v>
      </c>
      <c r="O2377" t="str">
        <f>"60"</f>
        <v>60</v>
      </c>
      <c r="P2377" t="str">
        <f>"Association Loi 1901 non Reconnue d'Utilité Publique"</f>
        <v>Association Loi 1901 non Reconnue d'Utilité Publique</v>
      </c>
      <c r="Q2377" t="str">
        <f t="shared" si="371"/>
        <v>36</v>
      </c>
      <c r="R2377" t="str">
        <f t="shared" si="372"/>
        <v>Tarifs conventionnels assurance maladie</v>
      </c>
      <c r="U2377" t="str">
        <f>"840019210"</f>
        <v>840019210</v>
      </c>
    </row>
    <row r="2378" spans="1:21" x14ac:dyDescent="0.3">
      <c r="A2378" t="str">
        <f>"560022840"</f>
        <v>560022840</v>
      </c>
      <c r="B2378" t="str">
        <f>"422 266 130 00026"</f>
        <v>422 266 130 00026</v>
      </c>
      <c r="D2378" t="str">
        <f>"CDS INFIRMIER ADMR DE GUEMENE/SCORFF"</f>
        <v>CDS INFIRMIER ADMR DE GUEMENE/SCORFF</v>
      </c>
      <c r="F2378" t="str">
        <f>"22 RUE BISSON"</f>
        <v>22 RUE BISSON</v>
      </c>
      <c r="H2378" t="str">
        <f>"56160"</f>
        <v>56160</v>
      </c>
      <c r="I2378" t="str">
        <f>"GUEMENE SUR SCORFF"</f>
        <v>GUEMENE SUR SCORFF</v>
      </c>
      <c r="J2378" t="str">
        <f>"02 97 51 20 51 "</f>
        <v xml:space="preserve">02 97 51 20 51 </v>
      </c>
      <c r="K2378" t="str">
        <f>"02 97 39 37 08"</f>
        <v>02 97 39 37 08</v>
      </c>
      <c r="L2378" s="1">
        <v>36161</v>
      </c>
      <c r="M2378" t="str">
        <f t="shared" si="373"/>
        <v>124</v>
      </c>
      <c r="N2378" t="str">
        <f t="shared" si="374"/>
        <v>Centre de Santé</v>
      </c>
      <c r="O2378" t="str">
        <f>"60"</f>
        <v>60</v>
      </c>
      <c r="P2378" t="str">
        <f>"Association Loi 1901 non Reconnue d'Utilité Publique"</f>
        <v>Association Loi 1901 non Reconnue d'Utilité Publique</v>
      </c>
      <c r="Q2378" t="str">
        <f t="shared" si="371"/>
        <v>36</v>
      </c>
      <c r="R2378" t="str">
        <f t="shared" si="372"/>
        <v>Tarifs conventionnels assurance maladie</v>
      </c>
      <c r="U2378" t="str">
        <f>"560022832"</f>
        <v>560022832</v>
      </c>
    </row>
    <row r="2379" spans="1:21" x14ac:dyDescent="0.3">
      <c r="A2379" t="str">
        <f>"590036463"</f>
        <v>590036463</v>
      </c>
      <c r="B2379" t="str">
        <f>"783 712 045 00195"</f>
        <v>783 712 045 00195</v>
      </c>
      <c r="D2379" t="str">
        <f>"CENTRE DE SANTE DENTAIRE DE TOURCOING"</f>
        <v>CENTRE DE SANTE DENTAIRE DE TOURCOING</v>
      </c>
      <c r="F2379" t="str">
        <f>"7 RUE ST JACQUES"</f>
        <v>7 RUE ST JACQUES</v>
      </c>
      <c r="H2379" t="str">
        <f>"59200"</f>
        <v>59200</v>
      </c>
      <c r="I2379" t="str">
        <f>"TOURCOING"</f>
        <v>TOURCOING</v>
      </c>
      <c r="J2379" t="str">
        <f>"03 20 27 91 55 "</f>
        <v xml:space="preserve">03 20 27 91 55 </v>
      </c>
      <c r="L2379" s="1">
        <v>36161</v>
      </c>
      <c r="M2379" t="str">
        <f t="shared" si="373"/>
        <v>124</v>
      </c>
      <c r="N2379" t="str">
        <f t="shared" si="374"/>
        <v>Centre de Santé</v>
      </c>
      <c r="O2379" t="str">
        <f>"47"</f>
        <v>47</v>
      </c>
      <c r="P2379" t="str">
        <f>"Société Mutualiste"</f>
        <v>Société Mutualiste</v>
      </c>
      <c r="Q2379" t="str">
        <f t="shared" si="371"/>
        <v>36</v>
      </c>
      <c r="R2379" t="str">
        <f t="shared" si="372"/>
        <v>Tarifs conventionnels assurance maladie</v>
      </c>
      <c r="U2379" t="str">
        <f>"590024469"</f>
        <v>590024469</v>
      </c>
    </row>
    <row r="2380" spans="1:21" x14ac:dyDescent="0.3">
      <c r="A2380" t="str">
        <f>"590780789"</f>
        <v>590780789</v>
      </c>
      <c r="B2380" t="str">
        <f>"422 829 499 00017"</f>
        <v>422 829 499 00017</v>
      </c>
      <c r="D2380" t="str">
        <f>"CENTRE DE SOINS INFIRMIERS"</f>
        <v>CENTRE DE SOINS INFIRMIERS</v>
      </c>
      <c r="F2380" t="str">
        <f>"5 RUE DE TREVISE"</f>
        <v>5 RUE DE TREVISE</v>
      </c>
      <c r="H2380" t="str">
        <f>"59000"</f>
        <v>59000</v>
      </c>
      <c r="I2380" t="str">
        <f>"LILLE"</f>
        <v>LILLE</v>
      </c>
      <c r="J2380" t="str">
        <f>"03 20 52 48 56 "</f>
        <v xml:space="preserve">03 20 52 48 56 </v>
      </c>
      <c r="L2380" s="1">
        <v>36161</v>
      </c>
      <c r="M2380" t="str">
        <f t="shared" si="373"/>
        <v>124</v>
      </c>
      <c r="N2380" t="str">
        <f t="shared" si="374"/>
        <v>Centre de Santé</v>
      </c>
      <c r="O2380" t="str">
        <f>"60"</f>
        <v>60</v>
      </c>
      <c r="P2380" t="str">
        <f>"Association Loi 1901 non Reconnue d'Utilité Publique"</f>
        <v>Association Loi 1901 non Reconnue d'Utilité Publique</v>
      </c>
      <c r="Q2380" t="str">
        <f t="shared" si="371"/>
        <v>36</v>
      </c>
      <c r="R2380" t="str">
        <f t="shared" si="372"/>
        <v>Tarifs conventionnels assurance maladie</v>
      </c>
      <c r="U2380" t="str">
        <f>"590046603"</f>
        <v>590046603</v>
      </c>
    </row>
    <row r="2381" spans="1:21" x14ac:dyDescent="0.3">
      <c r="A2381" t="str">
        <f>"920024965"</f>
        <v>920024965</v>
      </c>
      <c r="B2381" t="str">
        <f>"269 200 465 00046"</f>
        <v>269 200 465 00046</v>
      </c>
      <c r="D2381" t="str">
        <f>"CDS DENTAIRE MUNICIPAL NANTERRE"</f>
        <v>CDS DENTAIRE MUNICIPAL NANTERRE</v>
      </c>
      <c r="F2381" t="str">
        <f>"20 RUE DES PAQUERETTES"</f>
        <v>20 RUE DES PAQUERETTES</v>
      </c>
      <c r="H2381" t="str">
        <f>"92000"</f>
        <v>92000</v>
      </c>
      <c r="I2381" t="str">
        <f>"NANTERRE"</f>
        <v>NANTERRE</v>
      </c>
      <c r="J2381" t="str">
        <f>"01 42 42 79 70 "</f>
        <v xml:space="preserve">01 42 42 79 70 </v>
      </c>
      <c r="L2381" s="1">
        <v>36161</v>
      </c>
      <c r="M2381" t="str">
        <f t="shared" si="373"/>
        <v>124</v>
      </c>
      <c r="N2381" t="str">
        <f t="shared" si="374"/>
        <v>Centre de Santé</v>
      </c>
      <c r="O2381" t="str">
        <f>"17"</f>
        <v>17</v>
      </c>
      <c r="P2381" t="str">
        <f>"Centre Communal d'Action Sociale"</f>
        <v>Centre Communal d'Action Sociale</v>
      </c>
      <c r="Q2381" t="str">
        <f t="shared" si="371"/>
        <v>36</v>
      </c>
      <c r="R2381" t="str">
        <f t="shared" si="372"/>
        <v>Tarifs conventionnels assurance maladie</v>
      </c>
      <c r="U2381" t="str">
        <f>"920807773"</f>
        <v>920807773</v>
      </c>
    </row>
    <row r="2382" spans="1:21" x14ac:dyDescent="0.3">
      <c r="A2382" t="str">
        <f>"940019086"</f>
        <v>940019086</v>
      </c>
      <c r="B2382" t="str">
        <f>"751 068 545 00050"</f>
        <v>751 068 545 00050</v>
      </c>
      <c r="D2382" t="str">
        <f>"CDS DENTAIRE CRETEIL"</f>
        <v>CDS DENTAIRE CRETEIL</v>
      </c>
      <c r="E2382" t="str">
        <f>"30/32"</f>
        <v>30/32</v>
      </c>
      <c r="F2382" t="str">
        <f>"30 AVENUE DE VERDUN"</f>
        <v>30 AVENUE DE VERDUN</v>
      </c>
      <c r="H2382" t="str">
        <f>"94000"</f>
        <v>94000</v>
      </c>
      <c r="I2382" t="str">
        <f>"CRETEIL"</f>
        <v>CRETEIL</v>
      </c>
      <c r="J2382" t="str">
        <f>"01 56 72 12 00 "</f>
        <v xml:space="preserve">01 56 72 12 00 </v>
      </c>
      <c r="K2382" t="str">
        <f>"01 56 72 12 09"</f>
        <v>01 56 72 12 09</v>
      </c>
      <c r="L2382" s="1">
        <v>36161</v>
      </c>
      <c r="M2382" t="str">
        <f t="shared" si="373"/>
        <v>124</v>
      </c>
      <c r="N2382" t="str">
        <f t="shared" si="374"/>
        <v>Centre de Santé</v>
      </c>
      <c r="O2382" t="str">
        <f>"60"</f>
        <v>60</v>
      </c>
      <c r="P2382" t="str">
        <f>"Association Loi 1901 non Reconnue d'Utilité Publique"</f>
        <v>Association Loi 1901 non Reconnue d'Utilité Publique</v>
      </c>
      <c r="Q2382" t="str">
        <f t="shared" si="371"/>
        <v>36</v>
      </c>
      <c r="R2382" t="str">
        <f t="shared" si="372"/>
        <v>Tarifs conventionnels assurance maladie</v>
      </c>
      <c r="U2382" t="str">
        <f>"750050767"</f>
        <v>750050767</v>
      </c>
    </row>
    <row r="2383" spans="1:21" x14ac:dyDescent="0.3">
      <c r="A2383" t="str">
        <f>"210012126"</f>
        <v>210012126</v>
      </c>
      <c r="B2383" t="str">
        <f>"778 213 967 00087"</f>
        <v>778 213 967 00087</v>
      </c>
      <c r="D2383" t="str">
        <f>"CENTRE DE SOINS INFIRMIERS"</f>
        <v>CENTRE DE SOINS INFIRMIERS</v>
      </c>
      <c r="F2383" t="str">
        <f>"4 PLACE FONTAINE D'OUCHE"</f>
        <v>4 PLACE FONTAINE D'OUCHE</v>
      </c>
      <c r="H2383" t="str">
        <f>"21000"</f>
        <v>21000</v>
      </c>
      <c r="I2383" t="str">
        <f>"DIJON"</f>
        <v>DIJON</v>
      </c>
      <c r="J2383" t="str">
        <f>"03 80 41 66 66 "</f>
        <v xml:space="preserve">03 80 41 66 66 </v>
      </c>
      <c r="L2383" s="1">
        <v>36103</v>
      </c>
      <c r="M2383" t="str">
        <f t="shared" si="373"/>
        <v>124</v>
      </c>
      <c r="N2383" t="str">
        <f t="shared" si="374"/>
        <v>Centre de Santé</v>
      </c>
      <c r="O2383" t="str">
        <f>"60"</f>
        <v>60</v>
      </c>
      <c r="P2383" t="str">
        <f>"Association Loi 1901 non Reconnue d'Utilité Publique"</f>
        <v>Association Loi 1901 non Reconnue d'Utilité Publique</v>
      </c>
      <c r="Q2383" t="str">
        <f t="shared" si="371"/>
        <v>36</v>
      </c>
      <c r="R2383" t="str">
        <f t="shared" si="372"/>
        <v>Tarifs conventionnels assurance maladie</v>
      </c>
      <c r="U2383" t="str">
        <f>"210000766"</f>
        <v>210000766</v>
      </c>
    </row>
    <row r="2384" spans="1:21" x14ac:dyDescent="0.3">
      <c r="A2384" t="str">
        <f>"790010003"</f>
        <v>790010003</v>
      </c>
      <c r="B2384" t="str">
        <f>"781 453 923 00158"</f>
        <v>781 453 923 00158</v>
      </c>
      <c r="D2384" t="str">
        <f>"CDS DENTAIRE DE THOUARS"</f>
        <v>CDS DENTAIRE DE THOUARS</v>
      </c>
      <c r="F2384" t="str">
        <f>"40 AVENUE EMILE ZOLA"</f>
        <v>40 AVENUE EMILE ZOLA</v>
      </c>
      <c r="H2384" t="str">
        <f>"79100"</f>
        <v>79100</v>
      </c>
      <c r="I2384" t="str">
        <f>"THOUARS"</f>
        <v>THOUARS</v>
      </c>
      <c r="J2384" t="str">
        <f>"05 49 66 06 32 "</f>
        <v xml:space="preserve">05 49 66 06 32 </v>
      </c>
      <c r="L2384" s="1">
        <v>36100</v>
      </c>
      <c r="M2384" t="str">
        <f t="shared" si="373"/>
        <v>124</v>
      </c>
      <c r="N2384" t="str">
        <f t="shared" si="374"/>
        <v>Centre de Santé</v>
      </c>
      <c r="O2384" t="str">
        <f>"47"</f>
        <v>47</v>
      </c>
      <c r="P2384" t="str">
        <f>"Société Mutualiste"</f>
        <v>Société Mutualiste</v>
      </c>
      <c r="Q2384" t="str">
        <f t="shared" si="371"/>
        <v>36</v>
      </c>
      <c r="R2384" t="str">
        <f t="shared" si="372"/>
        <v>Tarifs conventionnels assurance maladie</v>
      </c>
      <c r="U2384" t="str">
        <f>"790000632"</f>
        <v>790000632</v>
      </c>
    </row>
    <row r="2385" spans="1:21" x14ac:dyDescent="0.3">
      <c r="A2385" t="str">
        <f>"310018692"</f>
        <v>310018692</v>
      </c>
      <c r="B2385" t="str">
        <f>"443 073 242 00085"</f>
        <v>443 073 242 00085</v>
      </c>
      <c r="D2385" t="str">
        <f>"CENTRE DE SANTE DENTAIRE TOUL VARSOVIE"</f>
        <v>CENTRE DE SANTE DENTAIRE TOUL VARSOVIE</v>
      </c>
      <c r="F2385" t="str">
        <f>"15 RUE DE VARSOVIE"</f>
        <v>15 RUE DE VARSOVIE</v>
      </c>
      <c r="G2385" t="str">
        <f>"BP 53160"</f>
        <v>BP 53160</v>
      </c>
      <c r="H2385" t="str">
        <f>"31027"</f>
        <v>31027</v>
      </c>
      <c r="I2385" t="str">
        <f>"TOULOUSE CEDEX 3"</f>
        <v>TOULOUSE CEDEX 3</v>
      </c>
      <c r="J2385" t="str">
        <f>"05 61 77 34 54 "</f>
        <v xml:space="preserve">05 61 77 34 54 </v>
      </c>
      <c r="K2385" t="str">
        <f>"05 61 77 34 70"</f>
        <v>05 61 77 34 70</v>
      </c>
      <c r="L2385" s="1">
        <v>36077</v>
      </c>
      <c r="M2385" t="str">
        <f t="shared" si="373"/>
        <v>124</v>
      </c>
      <c r="N2385" t="str">
        <f t="shared" si="374"/>
        <v>Centre de Santé</v>
      </c>
      <c r="O2385" t="str">
        <f>"47"</f>
        <v>47</v>
      </c>
      <c r="P2385" t="str">
        <f>"Société Mutualiste"</f>
        <v>Société Mutualiste</v>
      </c>
      <c r="Q2385" t="str">
        <f t="shared" si="371"/>
        <v>36</v>
      </c>
      <c r="R2385" t="str">
        <f t="shared" si="372"/>
        <v>Tarifs conventionnels assurance maladie</v>
      </c>
      <c r="U2385" t="str">
        <f>"310791223"</f>
        <v>310791223</v>
      </c>
    </row>
    <row r="2386" spans="1:21" x14ac:dyDescent="0.3">
      <c r="A2386" t="str">
        <f>"410007462"</f>
        <v>410007462</v>
      </c>
      <c r="B2386" t="str">
        <f>"442 609 897 00057"</f>
        <v>442 609 897 00057</v>
      </c>
      <c r="D2386" t="str">
        <f>"CENTRE MUTUALISTE DE SANTE DENTAIRE"</f>
        <v>CENTRE MUTUALISTE DE SANTE DENTAIRE</v>
      </c>
      <c r="F2386" t="str">
        <f>"22 RUE MARCEL PROUST"</f>
        <v>22 RUE MARCEL PROUST</v>
      </c>
      <c r="H2386" t="str">
        <f>"41100"</f>
        <v>41100</v>
      </c>
      <c r="I2386" t="str">
        <f>"VENDOME"</f>
        <v>VENDOME</v>
      </c>
      <c r="J2386" t="str">
        <f>"02 54 80 03 90 "</f>
        <v xml:space="preserve">02 54 80 03 90 </v>
      </c>
      <c r="K2386" t="str">
        <f>"02 54 89 01 10"</f>
        <v>02 54 89 01 10</v>
      </c>
      <c r="L2386" s="1">
        <v>36052</v>
      </c>
      <c r="M2386" t="str">
        <f t="shared" si="373"/>
        <v>124</v>
      </c>
      <c r="N2386" t="str">
        <f t="shared" si="374"/>
        <v>Centre de Santé</v>
      </c>
      <c r="O2386" t="str">
        <f>"47"</f>
        <v>47</v>
      </c>
      <c r="P2386" t="str">
        <f>"Société Mutualiste"</f>
        <v>Société Mutualiste</v>
      </c>
      <c r="Q2386" t="str">
        <f t="shared" si="371"/>
        <v>36</v>
      </c>
      <c r="R2386" t="str">
        <f t="shared" si="372"/>
        <v>Tarifs conventionnels assurance maladie</v>
      </c>
      <c r="U2386" t="str">
        <f>"410004741"</f>
        <v>410004741</v>
      </c>
    </row>
    <row r="2387" spans="1:21" x14ac:dyDescent="0.3">
      <c r="A2387" t="str">
        <f>"860006352"</f>
        <v>860006352</v>
      </c>
      <c r="B2387" t="str">
        <f>"198 608 564 00797"</f>
        <v>198 608 564 00797</v>
      </c>
      <c r="D2387" t="str">
        <f>"CENTRE DE SANTE - SIUMPPS"</f>
        <v>CENTRE DE SANTE - SIUMPPS</v>
      </c>
      <c r="E2387" t="str">
        <f>"CAMPUS UNIVERSITAIRE - BAT. C 4"</f>
        <v>CAMPUS UNIVERSITAIRE - BAT. C 4</v>
      </c>
      <c r="F2387" t="str">
        <f>"4 ALLEE JEAN MONNET"</f>
        <v>4 ALLEE JEAN MONNET</v>
      </c>
      <c r="H2387" t="str">
        <f>"86000"</f>
        <v>86000</v>
      </c>
      <c r="I2387" t="str">
        <f>"POITIERS"</f>
        <v>POITIERS</v>
      </c>
      <c r="J2387" t="str">
        <f>"05 49 45 33 54 "</f>
        <v xml:space="preserve">05 49 45 33 54 </v>
      </c>
      <c r="K2387" t="str">
        <f>"05 49 45 40 87"</f>
        <v>05 49 45 40 87</v>
      </c>
      <c r="L2387" s="1">
        <v>36039</v>
      </c>
      <c r="M2387" t="str">
        <f t="shared" si="373"/>
        <v>124</v>
      </c>
      <c r="N2387" t="str">
        <f t="shared" si="374"/>
        <v>Centre de Santé</v>
      </c>
      <c r="O2387" t="str">
        <f>"26"</f>
        <v>26</v>
      </c>
      <c r="P2387" t="str">
        <f>"Autre Etablissement Public à Caractère Administratif"</f>
        <v>Autre Etablissement Public à Caractère Administratif</v>
      </c>
      <c r="Q2387" t="str">
        <f t="shared" si="371"/>
        <v>36</v>
      </c>
      <c r="R2387" t="str">
        <f t="shared" si="372"/>
        <v>Tarifs conventionnels assurance maladie</v>
      </c>
      <c r="U2387" t="str">
        <f>"860006345"</f>
        <v>860006345</v>
      </c>
    </row>
    <row r="2388" spans="1:21" x14ac:dyDescent="0.3">
      <c r="A2388" t="str">
        <f>"930018502"</f>
        <v>930018502</v>
      </c>
      <c r="B2388" t="str">
        <f>"219 300 308 00109"</f>
        <v>219 300 308 00109</v>
      </c>
      <c r="D2388" t="str">
        <f>"CDS ANNEXE DU CMS"</f>
        <v>CDS ANNEXE DU CMS</v>
      </c>
      <c r="F2388" t="str">
        <f>"18 RESIDENCE DU PONT  YBLON"</f>
        <v>18 RESIDENCE DU PONT  YBLON</v>
      </c>
      <c r="H2388" t="str">
        <f>"93440"</f>
        <v>93440</v>
      </c>
      <c r="I2388" t="str">
        <f>"DUGNY"</f>
        <v>DUGNY</v>
      </c>
      <c r="J2388" t="str">
        <f>"01 49 34 10 27 "</f>
        <v xml:space="preserve">01 49 34 10 27 </v>
      </c>
      <c r="K2388" t="str">
        <f>"01 49 34 47 00"</f>
        <v>01 49 34 47 00</v>
      </c>
      <c r="L2388" s="1">
        <v>36007</v>
      </c>
      <c r="M2388" t="str">
        <f t="shared" si="373"/>
        <v>124</v>
      </c>
      <c r="N2388" t="str">
        <f t="shared" si="374"/>
        <v>Centre de Santé</v>
      </c>
      <c r="O2388" t="str">
        <f>"03"</f>
        <v>03</v>
      </c>
      <c r="P2388" t="str">
        <f>"Commune"</f>
        <v>Commune</v>
      </c>
      <c r="Q2388" t="str">
        <f t="shared" si="371"/>
        <v>36</v>
      </c>
      <c r="R2388" t="str">
        <f t="shared" si="372"/>
        <v>Tarifs conventionnels assurance maladie</v>
      </c>
      <c r="U2388" t="str">
        <f>"930812979"</f>
        <v>930812979</v>
      </c>
    </row>
    <row r="2389" spans="1:21" x14ac:dyDescent="0.3">
      <c r="A2389" t="str">
        <f>"270008782"</f>
        <v>270008782</v>
      </c>
      <c r="B2389" t="str">
        <f>"794 994 277 01198"</f>
        <v>794 994 277 01198</v>
      </c>
      <c r="D2389" t="str">
        <f>"CTRE SANTE DENTAIRE MUTUALISTE EVREUX"</f>
        <v>CTRE SANTE DENTAIRE MUTUALISTE EVREUX</v>
      </c>
      <c r="F2389" t="str">
        <f>"43 RUE FRANKLIN ROOSEVELT"</f>
        <v>43 RUE FRANKLIN ROOSEVELT</v>
      </c>
      <c r="H2389" t="str">
        <f>"27025"</f>
        <v>27025</v>
      </c>
      <c r="I2389" t="str">
        <f>"EVREUX CEDEX"</f>
        <v>EVREUX CEDEX</v>
      </c>
      <c r="J2389" t="str">
        <f>"02 32 39 83 95 "</f>
        <v xml:space="preserve">02 32 39 83 95 </v>
      </c>
      <c r="K2389" t="str">
        <f>"02 32 62 53 63"</f>
        <v>02 32 62 53 63</v>
      </c>
      <c r="L2389" s="1">
        <v>35998</v>
      </c>
      <c r="M2389" t="str">
        <f t="shared" si="373"/>
        <v>124</v>
      </c>
      <c r="N2389" t="str">
        <f t="shared" si="374"/>
        <v>Centre de Santé</v>
      </c>
      <c r="O2389" t="str">
        <f>"47"</f>
        <v>47</v>
      </c>
      <c r="P2389" t="str">
        <f>"Société Mutualiste"</f>
        <v>Société Mutualiste</v>
      </c>
      <c r="Q2389" t="str">
        <f t="shared" si="371"/>
        <v>36</v>
      </c>
      <c r="R2389" t="str">
        <f t="shared" si="372"/>
        <v>Tarifs conventionnels assurance maladie</v>
      </c>
      <c r="U2389" t="str">
        <f>"760000539"</f>
        <v>760000539</v>
      </c>
    </row>
    <row r="2390" spans="1:21" x14ac:dyDescent="0.3">
      <c r="A2390" t="str">
        <f>"680016136"</f>
        <v>680016136</v>
      </c>
      <c r="B2390" t="str">
        <f>"434 111 126 00125"</f>
        <v>434 111 126 00125</v>
      </c>
      <c r="D2390" t="str">
        <f>"CENTRE DE SANTE DENTAIRE"</f>
        <v>CENTRE DE SANTE DENTAIRE</v>
      </c>
      <c r="F2390" t="str">
        <f>"21 RUE ETROITE"</f>
        <v>21 RUE ETROITE</v>
      </c>
      <c r="H2390" t="str">
        <f>"68000"</f>
        <v>68000</v>
      </c>
      <c r="I2390" t="str">
        <f>"COLMAR"</f>
        <v>COLMAR</v>
      </c>
      <c r="J2390" t="str">
        <f>"03 89 20 45 50 "</f>
        <v xml:space="preserve">03 89 20 45 50 </v>
      </c>
      <c r="K2390" t="str">
        <f>"03 89 20 45 46"</f>
        <v>03 89 20 45 46</v>
      </c>
      <c r="L2390" s="1">
        <v>35989</v>
      </c>
      <c r="M2390" t="str">
        <f t="shared" si="373"/>
        <v>124</v>
      </c>
      <c r="N2390" t="str">
        <f t="shared" si="374"/>
        <v>Centre de Santé</v>
      </c>
      <c r="O2390" t="str">
        <f>"47"</f>
        <v>47</v>
      </c>
      <c r="P2390" t="str">
        <f>"Société Mutualiste"</f>
        <v>Société Mutualiste</v>
      </c>
      <c r="Q2390" t="str">
        <f t="shared" si="371"/>
        <v>36</v>
      </c>
      <c r="R2390" t="str">
        <f t="shared" si="372"/>
        <v>Tarifs conventionnels assurance maladie</v>
      </c>
      <c r="U2390" t="str">
        <f>"670010339"</f>
        <v>670010339</v>
      </c>
    </row>
    <row r="2391" spans="1:21" x14ac:dyDescent="0.3">
      <c r="A2391" t="str">
        <f>"910015940"</f>
        <v>910015940</v>
      </c>
      <c r="B2391" t="str">
        <f>"422 470 898 00012"</f>
        <v>422 470 898 00012</v>
      </c>
      <c r="D2391" t="str">
        <f>"CDS DENTAIRE DU VAL D YERRES"</f>
        <v>CDS DENTAIRE DU VAL D YERRES</v>
      </c>
      <c r="F2391" t="str">
        <f>"57 RUE FREDERIC KOEHLER"</f>
        <v>57 RUE FREDERIC KOEHLER</v>
      </c>
      <c r="H2391" t="str">
        <f>"91330"</f>
        <v>91330</v>
      </c>
      <c r="I2391" t="str">
        <f>"YERRES"</f>
        <v>YERRES</v>
      </c>
      <c r="J2391" t="str">
        <f>"06 10 34 75 73 "</f>
        <v xml:space="preserve">06 10 34 75 73 </v>
      </c>
      <c r="K2391" t="str">
        <f>"01 69 48 66 97"</f>
        <v>01 69 48 66 97</v>
      </c>
      <c r="L2391" s="1">
        <v>35942</v>
      </c>
      <c r="M2391" t="str">
        <f t="shared" si="373"/>
        <v>124</v>
      </c>
      <c r="N2391" t="str">
        <f t="shared" si="374"/>
        <v>Centre de Santé</v>
      </c>
      <c r="O2391" t="str">
        <f>"60"</f>
        <v>60</v>
      </c>
      <c r="P2391" t="str">
        <f>"Association Loi 1901 non Reconnue d'Utilité Publique"</f>
        <v>Association Loi 1901 non Reconnue d'Utilité Publique</v>
      </c>
      <c r="Q2391" t="str">
        <f t="shared" si="371"/>
        <v>36</v>
      </c>
      <c r="R2391" t="str">
        <f t="shared" si="372"/>
        <v>Tarifs conventionnels assurance maladie</v>
      </c>
      <c r="U2391" t="str">
        <f>"910015932"</f>
        <v>910015932</v>
      </c>
    </row>
    <row r="2392" spans="1:21" x14ac:dyDescent="0.3">
      <c r="A2392" t="str">
        <f>"380013383"</f>
        <v>380013383</v>
      </c>
      <c r="B2392" t="str">
        <f>"775 648 223 00425"</f>
        <v>775 648 223 00425</v>
      </c>
      <c r="D2392" t="str">
        <f>"CENTRE DE SANTE ASIATICUS"</f>
        <v>CENTRE DE SANTE ASIATICUS</v>
      </c>
      <c r="F2392" t="str">
        <f>"12 BOULEVARD ASIATICUS"</f>
        <v>12 BOULEVARD ASIATICUS</v>
      </c>
      <c r="H2392" t="str">
        <f>"38200"</f>
        <v>38200</v>
      </c>
      <c r="I2392" t="str">
        <f>"VIENNE"</f>
        <v>VIENNE</v>
      </c>
      <c r="J2392" t="str">
        <f>"04 74 78 88 30 "</f>
        <v xml:space="preserve">04 74 78 88 30 </v>
      </c>
      <c r="K2392" t="str">
        <f>"04 74 78 88 35"</f>
        <v>04 74 78 88 35</v>
      </c>
      <c r="L2392" s="1">
        <v>35855</v>
      </c>
      <c r="M2392" t="str">
        <f t="shared" si="373"/>
        <v>124</v>
      </c>
      <c r="N2392" t="str">
        <f t="shared" si="374"/>
        <v>Centre de Santé</v>
      </c>
      <c r="O2392" t="str">
        <f>"47"</f>
        <v>47</v>
      </c>
      <c r="P2392" t="str">
        <f>"Société Mutualiste"</f>
        <v>Société Mutualiste</v>
      </c>
      <c r="Q2392" t="str">
        <f t="shared" si="371"/>
        <v>36</v>
      </c>
      <c r="R2392" t="str">
        <f t="shared" si="372"/>
        <v>Tarifs conventionnels assurance maladie</v>
      </c>
      <c r="U2392" t="str">
        <f>"690796602"</f>
        <v>690796602</v>
      </c>
    </row>
    <row r="2393" spans="1:21" x14ac:dyDescent="0.3">
      <c r="A2393" t="str">
        <f>"410007355"</f>
        <v>410007355</v>
      </c>
      <c r="B2393" t="str">
        <f>"775 347 891 00803"</f>
        <v>775 347 891 00803</v>
      </c>
      <c r="D2393" t="str">
        <f>"CENTRE DE SOINS DENTAIRES"</f>
        <v>CENTRE DE SOINS DENTAIRES</v>
      </c>
      <c r="F2393" t="str">
        <f>"5 RUE DE LA SAUSSAYE"</f>
        <v>5 RUE DE LA SAUSSAYE</v>
      </c>
      <c r="H2393" t="str">
        <f>"41000"</f>
        <v>41000</v>
      </c>
      <c r="I2393" t="str">
        <f>"BLOIS"</f>
        <v>BLOIS</v>
      </c>
      <c r="J2393" t="str">
        <f>"02 54 70 59 56 "</f>
        <v xml:space="preserve">02 54 70 59 56 </v>
      </c>
      <c r="K2393" t="str">
        <f>"02 54 70 59 99"</f>
        <v>02 54 70 59 99</v>
      </c>
      <c r="L2393" s="1">
        <v>35814</v>
      </c>
      <c r="M2393" t="str">
        <f t="shared" si="373"/>
        <v>124</v>
      </c>
      <c r="N2393" t="str">
        <f t="shared" si="374"/>
        <v>Centre de Santé</v>
      </c>
      <c r="O2393" t="str">
        <f>"47"</f>
        <v>47</v>
      </c>
      <c r="P2393" t="str">
        <f>"Société Mutualiste"</f>
        <v>Société Mutualiste</v>
      </c>
      <c r="Q2393" t="str">
        <f t="shared" si="371"/>
        <v>36</v>
      </c>
      <c r="R2393" t="str">
        <f t="shared" si="372"/>
        <v>Tarifs conventionnels assurance maladie</v>
      </c>
      <c r="U2393" t="str">
        <f>"370100935"</f>
        <v>370100935</v>
      </c>
    </row>
    <row r="2394" spans="1:21" x14ac:dyDescent="0.3">
      <c r="A2394" t="str">
        <f>"590034864"</f>
        <v>590034864</v>
      </c>
      <c r="B2394" t="str">
        <f>"783 685 696 00081"</f>
        <v>783 685 696 00081</v>
      </c>
      <c r="D2394" t="str">
        <f>"CENTRE DE SANTE POLYVALE UNIVERSITAIRE"</f>
        <v>CENTRE DE SANTE POLYVALE UNIVERSITAIRE</v>
      </c>
      <c r="F2394" t="str">
        <f>"243 RUE NATIONALE"</f>
        <v>243 RUE NATIONALE</v>
      </c>
      <c r="H2394" t="str">
        <f>"59000"</f>
        <v>59000</v>
      </c>
      <c r="I2394" t="str">
        <f>"LILLE"</f>
        <v>LILLE</v>
      </c>
      <c r="J2394" t="str">
        <f>"03 28 04 02 40 "</f>
        <v xml:space="preserve">03 28 04 02 40 </v>
      </c>
      <c r="K2394" t="str">
        <f>"03 20 15 97 73"</f>
        <v>03 20 15 97 73</v>
      </c>
      <c r="L2394" s="1">
        <v>35800</v>
      </c>
      <c r="M2394" t="str">
        <f t="shared" si="373"/>
        <v>124</v>
      </c>
      <c r="N2394" t="str">
        <f t="shared" si="374"/>
        <v>Centre de Santé</v>
      </c>
      <c r="O2394" t="str">
        <f>"60"</f>
        <v>60</v>
      </c>
      <c r="P2394" t="str">
        <f>"Association Loi 1901 non Reconnue d'Utilité Publique"</f>
        <v>Association Loi 1901 non Reconnue d'Utilité Publique</v>
      </c>
      <c r="Q2394" t="str">
        <f t="shared" si="371"/>
        <v>36</v>
      </c>
      <c r="R2394" t="str">
        <f t="shared" si="372"/>
        <v>Tarifs conventionnels assurance maladie</v>
      </c>
      <c r="U2394" t="str">
        <f>"590034856"</f>
        <v>590034856</v>
      </c>
    </row>
    <row r="2395" spans="1:21" x14ac:dyDescent="0.3">
      <c r="A2395" t="str">
        <f>"290025428"</f>
        <v>290025428</v>
      </c>
      <c r="B2395" t="str">
        <f>"777 510 603 00023"</f>
        <v>777 510 603 00023</v>
      </c>
      <c r="D2395" t="str">
        <f>"CDS INFIRMIER DE MOLENE"</f>
        <v>CDS INFIRMIER DE MOLENE</v>
      </c>
      <c r="F2395" t="str">
        <f>""</f>
        <v/>
      </c>
      <c r="H2395" t="str">
        <f>"29259"</f>
        <v>29259</v>
      </c>
      <c r="I2395" t="str">
        <f>"ILE MOLENE"</f>
        <v>ILE MOLENE</v>
      </c>
      <c r="J2395" t="str">
        <f>"02 98 07 39 07 "</f>
        <v xml:space="preserve">02 98 07 39 07 </v>
      </c>
      <c r="K2395" t="str">
        <f>"02 98 07 37 15"</f>
        <v>02 98 07 37 15</v>
      </c>
      <c r="L2395" s="1">
        <v>35796</v>
      </c>
      <c r="M2395" t="str">
        <f t="shared" si="373"/>
        <v>124</v>
      </c>
      <c r="N2395" t="str">
        <f t="shared" si="374"/>
        <v>Centre de Santé</v>
      </c>
      <c r="O2395" t="str">
        <f>"60"</f>
        <v>60</v>
      </c>
      <c r="P2395" t="str">
        <f>"Association Loi 1901 non Reconnue d'Utilité Publique"</f>
        <v>Association Loi 1901 non Reconnue d'Utilité Publique</v>
      </c>
      <c r="Q2395" t="str">
        <f t="shared" si="371"/>
        <v>36</v>
      </c>
      <c r="R2395" t="str">
        <f t="shared" si="372"/>
        <v>Tarifs conventionnels assurance maladie</v>
      </c>
      <c r="U2395" t="str">
        <f>"290001221"</f>
        <v>290001221</v>
      </c>
    </row>
    <row r="2396" spans="1:21" x14ac:dyDescent="0.3">
      <c r="A2396" t="str">
        <f>"590781118"</f>
        <v>590781118</v>
      </c>
      <c r="B2396" t="str">
        <f>"783 712 045 00146"</f>
        <v>783 712 045 00146</v>
      </c>
      <c r="D2396" t="str">
        <f>"CENTRE DE SANTE DENTAIRE"</f>
        <v>CENTRE DE SANTE DENTAIRE</v>
      </c>
      <c r="F2396" t="str">
        <f>"18 BOULEVARD PAPIN"</f>
        <v>18 BOULEVARD PAPIN</v>
      </c>
      <c r="G2396" t="str">
        <f>"BP 1395"</f>
        <v>BP 1395</v>
      </c>
      <c r="H2396" t="str">
        <f>"59015"</f>
        <v>59015</v>
      </c>
      <c r="I2396" t="str">
        <f>"LILLE CEDEX"</f>
        <v>LILLE CEDEX</v>
      </c>
      <c r="J2396" t="str">
        <f>"03 20 58 10 30 "</f>
        <v xml:space="preserve">03 20 58 10 30 </v>
      </c>
      <c r="L2396" s="1">
        <v>35796</v>
      </c>
      <c r="M2396" t="str">
        <f t="shared" si="373"/>
        <v>124</v>
      </c>
      <c r="N2396" t="str">
        <f t="shared" si="374"/>
        <v>Centre de Santé</v>
      </c>
      <c r="O2396" t="str">
        <f>"47"</f>
        <v>47</v>
      </c>
      <c r="P2396" t="str">
        <f>"Société Mutualiste"</f>
        <v>Société Mutualiste</v>
      </c>
      <c r="Q2396" t="str">
        <f t="shared" si="371"/>
        <v>36</v>
      </c>
      <c r="R2396" t="str">
        <f t="shared" si="372"/>
        <v>Tarifs conventionnels assurance maladie</v>
      </c>
      <c r="U2396" t="str">
        <f>"590024469"</f>
        <v>590024469</v>
      </c>
    </row>
    <row r="2397" spans="1:21" x14ac:dyDescent="0.3">
      <c r="A2397" t="str">
        <f>"590805206"</f>
        <v>590805206</v>
      </c>
      <c r="B2397" t="str">
        <f>"783 712 045 00070"</f>
        <v>783 712 045 00070</v>
      </c>
      <c r="D2397" t="str">
        <f>"CENTRE DE SANTE DENTAIRE"</f>
        <v>CENTRE DE SANTE DENTAIRE</v>
      </c>
      <c r="F2397" t="str">
        <f>"32 BOULEVARD GAMBETTA"</f>
        <v>32 BOULEVARD GAMBETTA</v>
      </c>
      <c r="H2397" t="str">
        <f>"59100"</f>
        <v>59100</v>
      </c>
      <c r="I2397" t="str">
        <f>"ROUBAIX"</f>
        <v>ROUBAIX</v>
      </c>
      <c r="J2397" t="str">
        <f>"03 20 89 41 06 "</f>
        <v xml:space="preserve">03 20 89 41 06 </v>
      </c>
      <c r="L2397" s="1">
        <v>35796</v>
      </c>
      <c r="M2397" t="str">
        <f t="shared" si="373"/>
        <v>124</v>
      </c>
      <c r="N2397" t="str">
        <f t="shared" si="374"/>
        <v>Centre de Santé</v>
      </c>
      <c r="O2397" t="str">
        <f>"47"</f>
        <v>47</v>
      </c>
      <c r="P2397" t="str">
        <f>"Société Mutualiste"</f>
        <v>Société Mutualiste</v>
      </c>
      <c r="Q2397" t="str">
        <f t="shared" si="371"/>
        <v>36</v>
      </c>
      <c r="R2397" t="str">
        <f t="shared" si="372"/>
        <v>Tarifs conventionnels assurance maladie</v>
      </c>
      <c r="U2397" t="str">
        <f>"590024469"</f>
        <v>590024469</v>
      </c>
    </row>
    <row r="2398" spans="1:21" x14ac:dyDescent="0.3">
      <c r="A2398" t="str">
        <f>"780010138"</f>
        <v>780010138</v>
      </c>
      <c r="B2398" t="str">
        <f>"217 806 215 00398"</f>
        <v>217 806 215 00398</v>
      </c>
      <c r="D2398" t="str">
        <f>"CDS MUNICIPAL DE TRAPPES"</f>
        <v>CDS MUNICIPAL DE TRAPPES</v>
      </c>
      <c r="E2398" t="str">
        <f>"15-17"</f>
        <v>15-17</v>
      </c>
      <c r="F2398" t="str">
        <f>"15 AVENUE MAHATMA GANDHI"</f>
        <v>15 AVENUE MAHATMA GANDHI</v>
      </c>
      <c r="H2398" t="str">
        <f>"78190"</f>
        <v>78190</v>
      </c>
      <c r="I2398" t="str">
        <f>"TRAPPES"</f>
        <v>TRAPPES</v>
      </c>
      <c r="J2398" t="str">
        <f>"01 30 69 18 84 "</f>
        <v xml:space="preserve">01 30 69 18 84 </v>
      </c>
      <c r="K2398" t="str">
        <f>"01 30 69 91 01"</f>
        <v>01 30 69 91 01</v>
      </c>
      <c r="L2398" s="1">
        <v>35789</v>
      </c>
      <c r="M2398" t="str">
        <f t="shared" si="373"/>
        <v>124</v>
      </c>
      <c r="N2398" t="str">
        <f t="shared" si="374"/>
        <v>Centre de Santé</v>
      </c>
      <c r="O2398" t="str">
        <f>"03"</f>
        <v>03</v>
      </c>
      <c r="P2398" t="str">
        <f>"Commune"</f>
        <v>Commune</v>
      </c>
      <c r="Q2398" t="str">
        <f t="shared" si="371"/>
        <v>36</v>
      </c>
      <c r="R2398" t="str">
        <f t="shared" si="372"/>
        <v>Tarifs conventionnels assurance maladie</v>
      </c>
      <c r="U2398" t="str">
        <f>"780809083"</f>
        <v>780809083</v>
      </c>
    </row>
    <row r="2399" spans="1:21" x14ac:dyDescent="0.3">
      <c r="A2399" t="str">
        <f>"740008800"</f>
        <v>740008800</v>
      </c>
      <c r="B2399" t="str">
        <f>"775 654 478 00335"</f>
        <v>775 654 478 00335</v>
      </c>
      <c r="D2399" t="str">
        <f>"CENTRE DE SANTE UMFMB ANNECY-LE-VIEUX"</f>
        <v>CENTRE DE SANTE UMFMB ANNECY-LE-VIEUX</v>
      </c>
      <c r="F2399" t="str">
        <f>"18 CHEMIN DES CLOCHES"</f>
        <v>18 CHEMIN DES CLOCHES</v>
      </c>
      <c r="G2399" t="str">
        <f>"ANNECY-LE-VIEUX"</f>
        <v>ANNECY-LE-VIEUX</v>
      </c>
      <c r="H2399" t="str">
        <f>"74940"</f>
        <v>74940</v>
      </c>
      <c r="I2399" t="str">
        <f>"ANNECY"</f>
        <v>ANNECY</v>
      </c>
      <c r="J2399" t="str">
        <f>"04 50 23 90 80 "</f>
        <v xml:space="preserve">04 50 23 90 80 </v>
      </c>
      <c r="K2399" t="str">
        <f>"04 50 23 90 88"</f>
        <v>04 50 23 90 88</v>
      </c>
      <c r="L2399" s="1">
        <v>35765</v>
      </c>
      <c r="M2399" t="str">
        <f t="shared" si="373"/>
        <v>124</v>
      </c>
      <c r="N2399" t="str">
        <f t="shared" si="374"/>
        <v>Centre de Santé</v>
      </c>
      <c r="O2399" t="str">
        <f>"47"</f>
        <v>47</v>
      </c>
      <c r="P2399" t="str">
        <f>"Société Mutualiste"</f>
        <v>Société Mutualiste</v>
      </c>
      <c r="Q2399" t="str">
        <f t="shared" si="371"/>
        <v>36</v>
      </c>
      <c r="R2399" t="str">
        <f t="shared" si="372"/>
        <v>Tarifs conventionnels assurance maladie</v>
      </c>
      <c r="U2399" t="str">
        <f>"740787791"</f>
        <v>740787791</v>
      </c>
    </row>
    <row r="2400" spans="1:21" x14ac:dyDescent="0.3">
      <c r="A2400" t="str">
        <f>"910005024"</f>
        <v>910005024</v>
      </c>
      <c r="B2400" t="str">
        <f>"323 722 165 00038"</f>
        <v>323 722 165 00038</v>
      </c>
      <c r="D2400" t="str">
        <f>"CDS DENTAIRE JUVISY"</f>
        <v>CDS DENTAIRE JUVISY</v>
      </c>
      <c r="E2400" t="str">
        <f>"3/5"</f>
        <v>3/5</v>
      </c>
      <c r="F2400" t="str">
        <f>"3 RUE CONDORCET"</f>
        <v>3 RUE CONDORCET</v>
      </c>
      <c r="H2400" t="str">
        <f>"91260"</f>
        <v>91260</v>
      </c>
      <c r="I2400" t="str">
        <f>"JUVISY SUR ORGE"</f>
        <v>JUVISY SUR ORGE</v>
      </c>
      <c r="J2400" t="str">
        <f>"01 69 79 77 00 "</f>
        <v xml:space="preserve">01 69 79 77 00 </v>
      </c>
      <c r="K2400" t="str">
        <f>"01 69 05 57 58"</f>
        <v>01 69 05 57 58</v>
      </c>
      <c r="L2400" s="1">
        <v>35734</v>
      </c>
      <c r="M2400" t="str">
        <f t="shared" si="373"/>
        <v>124</v>
      </c>
      <c r="N2400" t="str">
        <f t="shared" si="374"/>
        <v>Centre de Santé</v>
      </c>
      <c r="O2400" t="str">
        <f>"40"</f>
        <v>40</v>
      </c>
      <c r="P2400" t="str">
        <f>"Régime Général de Sécurité Sociale"</f>
        <v>Régime Général de Sécurité Sociale</v>
      </c>
      <c r="Q2400" t="str">
        <f t="shared" si="371"/>
        <v>36</v>
      </c>
      <c r="R2400" t="str">
        <f t="shared" si="372"/>
        <v>Tarifs conventionnels assurance maladie</v>
      </c>
      <c r="U2400" t="str">
        <f>"910807890"</f>
        <v>910807890</v>
      </c>
    </row>
    <row r="2401" spans="1:21" x14ac:dyDescent="0.3">
      <c r="A2401" t="str">
        <f>"350040234"</f>
        <v>350040234</v>
      </c>
      <c r="B2401" t="str">
        <f>"519 033 989 00103"</f>
        <v>519 033 989 00103</v>
      </c>
      <c r="D2401" t="str">
        <f>"CDS DENTAIRE MUTUALISTE CLEUNAY"</f>
        <v>CDS DENTAIRE MUTUALISTE CLEUNAY</v>
      </c>
      <c r="F2401" t="str">
        <f>"20 SQUARE LOUIS ET MAURICE DE BROGLIE"</f>
        <v>20 SQUARE LOUIS ET MAURICE DE BROGLIE</v>
      </c>
      <c r="G2401" t="str">
        <f>"CS 74348"</f>
        <v>CS 74348</v>
      </c>
      <c r="H2401" t="str">
        <f>"35000"</f>
        <v>35000</v>
      </c>
      <c r="I2401" t="str">
        <f>"RENNES"</f>
        <v>RENNES</v>
      </c>
      <c r="J2401" t="str">
        <f>"02 99 67 88 22 "</f>
        <v xml:space="preserve">02 99 67 88 22 </v>
      </c>
      <c r="K2401" t="str">
        <f>"02 99 67 66 90"</f>
        <v>02 99 67 66 90</v>
      </c>
      <c r="L2401" s="1">
        <v>35695</v>
      </c>
      <c r="M2401" t="str">
        <f t="shared" si="373"/>
        <v>124</v>
      </c>
      <c r="N2401" t="str">
        <f t="shared" si="374"/>
        <v>Centre de Santé</v>
      </c>
      <c r="O2401" t="str">
        <f>"47"</f>
        <v>47</v>
      </c>
      <c r="P2401" t="str">
        <f>"Société Mutualiste"</f>
        <v>Société Mutualiste</v>
      </c>
      <c r="Q2401" t="str">
        <f t="shared" si="371"/>
        <v>36</v>
      </c>
      <c r="R2401" t="str">
        <f t="shared" si="372"/>
        <v>Tarifs conventionnels assurance maladie</v>
      </c>
      <c r="U2401" t="str">
        <f>"560030710"</f>
        <v>560030710</v>
      </c>
    </row>
    <row r="2402" spans="1:21" x14ac:dyDescent="0.3">
      <c r="A2402" t="str">
        <f>"570003152"</f>
        <v>570003152</v>
      </c>
      <c r="B2402" t="str">
        <f>"515 260 883 00050"</f>
        <v>515 260 883 00050</v>
      </c>
      <c r="D2402" t="str">
        <f>"CLINIQUE DENTAIRE CPAM DE MOSELLE"</f>
        <v>CLINIQUE DENTAIRE CPAM DE MOSELLE</v>
      </c>
      <c r="F2402" t="str">
        <f>"65 AVENUE SAINT REMY"</f>
        <v>65 AVENUE SAINT REMY</v>
      </c>
      <c r="H2402" t="str">
        <f>"57600"</f>
        <v>57600</v>
      </c>
      <c r="I2402" t="str">
        <f>"FORBACH"</f>
        <v>FORBACH</v>
      </c>
      <c r="J2402" t="str">
        <f>"03 87 29 81 20 "</f>
        <v xml:space="preserve">03 87 29 81 20 </v>
      </c>
      <c r="L2402" s="1">
        <v>35677</v>
      </c>
      <c r="M2402" t="str">
        <f t="shared" si="373"/>
        <v>124</v>
      </c>
      <c r="N2402" t="str">
        <f t="shared" si="374"/>
        <v>Centre de Santé</v>
      </c>
      <c r="O2402" t="str">
        <f>"40"</f>
        <v>40</v>
      </c>
      <c r="P2402" t="str">
        <f>"Régime Général de Sécurité Sociale"</f>
        <v>Régime Général de Sécurité Sociale</v>
      </c>
      <c r="Q2402" t="str">
        <f t="shared" si="371"/>
        <v>36</v>
      </c>
      <c r="R2402" t="str">
        <f t="shared" si="372"/>
        <v>Tarifs conventionnels assurance maladie</v>
      </c>
      <c r="U2402" t="str">
        <f>"570010439"</f>
        <v>570010439</v>
      </c>
    </row>
    <row r="2403" spans="1:21" x14ac:dyDescent="0.3">
      <c r="A2403" t="str">
        <f>"420782229"</f>
        <v>420782229</v>
      </c>
      <c r="B2403" t="str">
        <f>"316 084 409 00028"</f>
        <v>316 084 409 00028</v>
      </c>
      <c r="D2403" t="str">
        <f>"CENTRE DE SANTE DE MONTBRISON"</f>
        <v>CENTRE DE SANTE DE MONTBRISON</v>
      </c>
      <c r="F2403" t="str">
        <f>"2 RUE DES JARDINS"</f>
        <v>2 RUE DES JARDINS</v>
      </c>
      <c r="H2403" t="str">
        <f>"42600"</f>
        <v>42600</v>
      </c>
      <c r="I2403" t="str">
        <f>"MONTBRISON"</f>
        <v>MONTBRISON</v>
      </c>
      <c r="J2403" t="str">
        <f>"04 77 58 18 20 "</f>
        <v xml:space="preserve">04 77 58 18 20 </v>
      </c>
      <c r="K2403" t="str">
        <f>"04 77 58 99 12"</f>
        <v>04 77 58 99 12</v>
      </c>
      <c r="L2403" s="1">
        <v>35612</v>
      </c>
      <c r="M2403" t="str">
        <f t="shared" si="373"/>
        <v>124</v>
      </c>
      <c r="N2403" t="str">
        <f t="shared" si="374"/>
        <v>Centre de Santé</v>
      </c>
      <c r="O2403" t="str">
        <f>"60"</f>
        <v>60</v>
      </c>
      <c r="P2403" t="str">
        <f>"Association Loi 1901 non Reconnue d'Utilité Publique"</f>
        <v>Association Loi 1901 non Reconnue d'Utilité Publique</v>
      </c>
      <c r="Q2403" t="str">
        <f t="shared" si="371"/>
        <v>36</v>
      </c>
      <c r="R2403" t="str">
        <f t="shared" si="372"/>
        <v>Tarifs conventionnels assurance maladie</v>
      </c>
      <c r="U2403" t="str">
        <f>"420000846"</f>
        <v>420000846</v>
      </c>
    </row>
    <row r="2404" spans="1:21" x14ac:dyDescent="0.3">
      <c r="A2404" t="str">
        <f>"550002851"</f>
        <v>550002851</v>
      </c>
      <c r="B2404" t="str">
        <f>"775 615 537 00641"</f>
        <v>775 615 537 00641</v>
      </c>
      <c r="D2404" t="str">
        <f>"CENTRE DE SANTE DENTAIRE UTML"</f>
        <v>CENTRE DE SANTE DENTAIRE UTML</v>
      </c>
      <c r="F2404" t="str">
        <f>"22 PLACE CHARLES DE GAULLE"</f>
        <v>22 PLACE CHARLES DE GAULLE</v>
      </c>
      <c r="H2404" t="str">
        <f>"55200"</f>
        <v>55200</v>
      </c>
      <c r="I2404" t="str">
        <f>"COMMERCY"</f>
        <v>COMMERCY</v>
      </c>
      <c r="J2404" t="str">
        <f>"03 29 91 46 46 "</f>
        <v xml:space="preserve">03 29 91 46 46 </v>
      </c>
      <c r="K2404" t="str">
        <f>"03 29 91 48 48"</f>
        <v>03 29 91 48 48</v>
      </c>
      <c r="L2404" s="1">
        <v>35612</v>
      </c>
      <c r="M2404" t="str">
        <f t="shared" si="373"/>
        <v>124</v>
      </c>
      <c r="N2404" t="str">
        <f t="shared" si="374"/>
        <v>Centre de Santé</v>
      </c>
      <c r="O2404" t="str">
        <f>"47"</f>
        <v>47</v>
      </c>
      <c r="P2404" t="str">
        <f>"Société Mutualiste"</f>
        <v>Société Mutualiste</v>
      </c>
      <c r="Q2404" t="str">
        <f t="shared" ref="Q2404:Q2467" si="375">"36"</f>
        <v>36</v>
      </c>
      <c r="R2404" t="str">
        <f t="shared" ref="R2404:R2467" si="376">"Tarifs conventionnels assurance maladie"</f>
        <v>Tarifs conventionnels assurance maladie</v>
      </c>
      <c r="U2404" t="str">
        <f>"540013042"</f>
        <v>540013042</v>
      </c>
    </row>
    <row r="2405" spans="1:21" x14ac:dyDescent="0.3">
      <c r="A2405" t="str">
        <f>"750037053"</f>
        <v>750037053</v>
      </c>
      <c r="B2405" t="str">
        <f>"401 121 355 00010"</f>
        <v>401 121 355 00010</v>
      </c>
      <c r="D2405" t="str">
        <f>"CDS MEDICAL PRIMO LEVI"</f>
        <v>CDS MEDICAL PRIMO LEVI</v>
      </c>
      <c r="F2405" t="str">
        <f>"107 AVENUE PARMENTIER"</f>
        <v>107 AVENUE PARMENTIER</v>
      </c>
      <c r="H2405" t="str">
        <f>"75011"</f>
        <v>75011</v>
      </c>
      <c r="I2405" t="str">
        <f>"PARIS"</f>
        <v>PARIS</v>
      </c>
      <c r="J2405" t="str">
        <f>"01 43 14 88 50 "</f>
        <v xml:space="preserve">01 43 14 88 50 </v>
      </c>
      <c r="K2405" t="str">
        <f>"01 43 14 08 28"</f>
        <v>01 43 14 08 28</v>
      </c>
      <c r="L2405" s="1">
        <v>35564</v>
      </c>
      <c r="M2405" t="str">
        <f t="shared" si="373"/>
        <v>124</v>
      </c>
      <c r="N2405" t="str">
        <f t="shared" si="374"/>
        <v>Centre de Santé</v>
      </c>
      <c r="O2405" t="str">
        <f>"60"</f>
        <v>60</v>
      </c>
      <c r="P2405" t="str">
        <f>"Association Loi 1901 non Reconnue d'Utilité Publique"</f>
        <v>Association Loi 1901 non Reconnue d'Utilité Publique</v>
      </c>
      <c r="Q2405" t="str">
        <f t="shared" si="375"/>
        <v>36</v>
      </c>
      <c r="R2405" t="str">
        <f t="shared" si="376"/>
        <v>Tarifs conventionnels assurance maladie</v>
      </c>
      <c r="U2405" t="str">
        <f>"750037046"</f>
        <v>750037046</v>
      </c>
    </row>
    <row r="2406" spans="1:21" x14ac:dyDescent="0.3">
      <c r="A2406" t="str">
        <f>"290002286"</f>
        <v>290002286</v>
      </c>
      <c r="B2406" t="str">
        <f>"319 294 971 00043"</f>
        <v>319 294 971 00043</v>
      </c>
      <c r="D2406" t="str">
        <f>"CDS INFIRMIER DE CENTRE SIAM"</f>
        <v>CDS INFIRMIER DE CENTRE SIAM</v>
      </c>
      <c r="F2406" t="str">
        <f>"20 RUE JULES-MICHELET"</f>
        <v>20 RUE JULES-MICHELET</v>
      </c>
      <c r="H2406" t="str">
        <f>"29200"</f>
        <v>29200</v>
      </c>
      <c r="I2406" t="str">
        <f>"BREST"</f>
        <v>BREST</v>
      </c>
      <c r="J2406" t="str">
        <f>"02 98 44 75 01 "</f>
        <v xml:space="preserve">02 98 44 75 01 </v>
      </c>
      <c r="L2406" s="1">
        <v>35551</v>
      </c>
      <c r="M2406" t="str">
        <f t="shared" si="373"/>
        <v>124</v>
      </c>
      <c r="N2406" t="str">
        <f t="shared" si="374"/>
        <v>Centre de Santé</v>
      </c>
      <c r="O2406" t="str">
        <f>"60"</f>
        <v>60</v>
      </c>
      <c r="P2406" t="str">
        <f>"Association Loi 1901 non Reconnue d'Utilité Publique"</f>
        <v>Association Loi 1901 non Reconnue d'Utilité Publique</v>
      </c>
      <c r="Q2406" t="str">
        <f t="shared" si="375"/>
        <v>36</v>
      </c>
      <c r="R2406" t="str">
        <f t="shared" si="376"/>
        <v>Tarifs conventionnels assurance maladie</v>
      </c>
      <c r="U2406" t="str">
        <f>"290001338"</f>
        <v>290001338</v>
      </c>
    </row>
    <row r="2407" spans="1:21" x14ac:dyDescent="0.3">
      <c r="A2407" t="str">
        <f>"570000844"</f>
        <v>570000844</v>
      </c>
      <c r="B2407" t="str">
        <f>"515 260 883 00217"</f>
        <v>515 260 883 00217</v>
      </c>
      <c r="D2407" t="str">
        <f>"CLINIQUE DENTAIRE CPAM DE MOSELLE"</f>
        <v>CLINIQUE DENTAIRE CPAM DE MOSELLE</v>
      </c>
      <c r="F2407" t="str">
        <f>"51 RUE DE WENDEL"</f>
        <v>51 RUE DE WENDEL</v>
      </c>
      <c r="H2407" t="str">
        <f>"57700"</f>
        <v>57700</v>
      </c>
      <c r="I2407" t="str">
        <f>"HAYANGE"</f>
        <v>HAYANGE</v>
      </c>
      <c r="J2407" t="str">
        <f>"03 82 84 73 38 "</f>
        <v xml:space="preserve">03 82 84 73 38 </v>
      </c>
      <c r="L2407" s="1">
        <v>35529</v>
      </c>
      <c r="M2407" t="str">
        <f t="shared" si="373"/>
        <v>124</v>
      </c>
      <c r="N2407" t="str">
        <f t="shared" si="374"/>
        <v>Centre de Santé</v>
      </c>
      <c r="O2407" t="str">
        <f>"40"</f>
        <v>40</v>
      </c>
      <c r="P2407" t="str">
        <f>"Régime Général de Sécurité Sociale"</f>
        <v>Régime Général de Sécurité Sociale</v>
      </c>
      <c r="Q2407" t="str">
        <f t="shared" si="375"/>
        <v>36</v>
      </c>
      <c r="R2407" t="str">
        <f t="shared" si="376"/>
        <v>Tarifs conventionnels assurance maladie</v>
      </c>
      <c r="U2407" t="str">
        <f>"570010439"</f>
        <v>570010439</v>
      </c>
    </row>
    <row r="2408" spans="1:21" x14ac:dyDescent="0.3">
      <c r="A2408" t="str">
        <f>"800011009"</f>
        <v>800011009</v>
      </c>
      <c r="B2408" t="str">
        <f>"780 612 123 00056"</f>
        <v>780 612 123 00056</v>
      </c>
      <c r="D2408" t="str">
        <f>"CS MUTUALITÉ 80&amp;60 AMIENS"</f>
        <v>CS MUTUALITÉ 80&amp;60 AMIENS</v>
      </c>
      <c r="F2408" t="str">
        <f>"4 RUE FLORIMOND LEROUX"</f>
        <v>4 RUE FLORIMOND LEROUX</v>
      </c>
      <c r="H2408" t="str">
        <f>"80038"</f>
        <v>80038</v>
      </c>
      <c r="I2408" t="str">
        <f>"AMIENS CEDEX 1"</f>
        <v>AMIENS CEDEX 1</v>
      </c>
      <c r="J2408" t="str">
        <f>"03 22 71 63 00 "</f>
        <v xml:space="preserve">03 22 71 63 00 </v>
      </c>
      <c r="K2408" t="str">
        <f>"03 22 71 63 04"</f>
        <v>03 22 71 63 04</v>
      </c>
      <c r="L2408" s="1">
        <v>35510</v>
      </c>
      <c r="M2408" t="str">
        <f t="shared" si="373"/>
        <v>124</v>
      </c>
      <c r="N2408" t="str">
        <f t="shared" si="374"/>
        <v>Centre de Santé</v>
      </c>
      <c r="O2408" t="str">
        <f>"47"</f>
        <v>47</v>
      </c>
      <c r="P2408" t="str">
        <f>"Société Mutualiste"</f>
        <v>Société Mutualiste</v>
      </c>
      <c r="Q2408" t="str">
        <f t="shared" si="375"/>
        <v>36</v>
      </c>
      <c r="R2408" t="str">
        <f t="shared" si="376"/>
        <v>Tarifs conventionnels assurance maladie</v>
      </c>
      <c r="U2408" t="str">
        <f>"800010993"</f>
        <v>800010993</v>
      </c>
    </row>
    <row r="2409" spans="1:21" x14ac:dyDescent="0.3">
      <c r="A2409" t="str">
        <f>"040003063"</f>
        <v>040003063</v>
      </c>
      <c r="B2409" t="str">
        <f>"391 642 113 00081"</f>
        <v>391 642 113 00081</v>
      </c>
      <c r="D2409" t="str">
        <f>"CDS DENTAIRE"</f>
        <v>CDS DENTAIRE</v>
      </c>
      <c r="F2409" t="str">
        <f>"5 AVENUE DE VERDUN BAT A LE RIVIERA"</f>
        <v>5 AVENUE DE VERDUN BAT A LE RIVIERA</v>
      </c>
      <c r="H2409" t="str">
        <f>"04000"</f>
        <v>04000</v>
      </c>
      <c r="I2409" t="str">
        <f>"DIGNE LES BAINS"</f>
        <v>DIGNE LES BAINS</v>
      </c>
      <c r="J2409" t="str">
        <f>"04 92 36 03 65 "</f>
        <v xml:space="preserve">04 92 36 03 65 </v>
      </c>
      <c r="K2409" t="str">
        <f>"04 92 36 04 07"</f>
        <v>04 92 36 04 07</v>
      </c>
      <c r="L2409" s="1">
        <v>35507</v>
      </c>
      <c r="M2409" t="str">
        <f t="shared" si="373"/>
        <v>124</v>
      </c>
      <c r="N2409" t="str">
        <f t="shared" si="374"/>
        <v>Centre de Santé</v>
      </c>
      <c r="O2409" t="str">
        <f>"47"</f>
        <v>47</v>
      </c>
      <c r="P2409" t="str">
        <f>"Société Mutualiste"</f>
        <v>Société Mutualiste</v>
      </c>
      <c r="Q2409" t="str">
        <f t="shared" si="375"/>
        <v>36</v>
      </c>
      <c r="R2409" t="str">
        <f t="shared" si="376"/>
        <v>Tarifs conventionnels assurance maladie</v>
      </c>
      <c r="U2409" t="str">
        <f>"050006741"</f>
        <v>050006741</v>
      </c>
    </row>
    <row r="2410" spans="1:21" x14ac:dyDescent="0.3">
      <c r="A2410" t="str">
        <f>"590040341"</f>
        <v>590040341</v>
      </c>
      <c r="B2410" t="str">
        <f>"130 023 583 00011"</f>
        <v>130 023 583 00011</v>
      </c>
      <c r="D2410" t="str">
        <f>"CENTRE DE SANTÉ DES ÉTUDIANTS"</f>
        <v>CENTRE DE SANTÉ DES ÉTUDIANTS</v>
      </c>
      <c r="E2410" t="str">
        <f>"CITE SCIENTIFIQUE  BAT A10"</f>
        <v>CITE SCIENTIFIQUE  BAT A10</v>
      </c>
      <c r="F2410" t="str">
        <f>"AVENUE POINCARE"</f>
        <v>AVENUE POINCARE</v>
      </c>
      <c r="H2410" t="str">
        <f>"59650"</f>
        <v>59650</v>
      </c>
      <c r="I2410" t="str">
        <f>"VILLENEUVE D ASCQ"</f>
        <v>VILLENEUVE D ASCQ</v>
      </c>
      <c r="J2410" t="str">
        <f>"03 62 26 93 00 "</f>
        <v xml:space="preserve">03 62 26 93 00 </v>
      </c>
      <c r="L2410" s="1">
        <v>35494</v>
      </c>
      <c r="M2410" t="str">
        <f t="shared" si="373"/>
        <v>124</v>
      </c>
      <c r="N2410" t="str">
        <f t="shared" si="374"/>
        <v>Centre de Santé</v>
      </c>
      <c r="O2410" t="str">
        <f>"26"</f>
        <v>26</v>
      </c>
      <c r="P2410" t="str">
        <f>"Autre Etablissement Public à Caractère Administratif"</f>
        <v>Autre Etablissement Public à Caractère Administratif</v>
      </c>
      <c r="Q2410" t="str">
        <f t="shared" si="375"/>
        <v>36</v>
      </c>
      <c r="R2410" t="str">
        <f t="shared" si="376"/>
        <v>Tarifs conventionnels assurance maladie</v>
      </c>
      <c r="U2410" t="str">
        <f>"590006904"</f>
        <v>590006904</v>
      </c>
    </row>
    <row r="2411" spans="1:21" x14ac:dyDescent="0.3">
      <c r="A2411" t="str">
        <f>"130008493"</f>
        <v>130008493</v>
      </c>
      <c r="D2411" t="str">
        <f>"CDS OXANCE ISTRES"</f>
        <v>CDS OXANCE ISTRES</v>
      </c>
      <c r="F2411" t="str">
        <f>"13 BOULEVARD JEAN MARIE L'HUILLIER"</f>
        <v>13 BOULEVARD JEAN MARIE L'HUILLIER</v>
      </c>
      <c r="H2411" t="str">
        <f>"13800"</f>
        <v>13800</v>
      </c>
      <c r="I2411" t="str">
        <f>"ISTRES"</f>
        <v>ISTRES</v>
      </c>
      <c r="J2411" t="str">
        <f>"04 42 56 59 20 "</f>
        <v xml:space="preserve">04 42 56 59 20 </v>
      </c>
      <c r="L2411" s="1">
        <v>35462</v>
      </c>
      <c r="M2411" t="str">
        <f t="shared" si="373"/>
        <v>124</v>
      </c>
      <c r="N2411" t="str">
        <f t="shared" si="374"/>
        <v>Centre de Santé</v>
      </c>
      <c r="O2411" t="str">
        <f>"47"</f>
        <v>47</v>
      </c>
      <c r="P2411" t="str">
        <f>"Société Mutualiste"</f>
        <v>Société Mutualiste</v>
      </c>
      <c r="Q2411" t="str">
        <f t="shared" si="375"/>
        <v>36</v>
      </c>
      <c r="R2411" t="str">
        <f t="shared" si="376"/>
        <v>Tarifs conventionnels assurance maladie</v>
      </c>
      <c r="U2411" t="str">
        <f>"690048111"</f>
        <v>690048111</v>
      </c>
    </row>
    <row r="2412" spans="1:21" x14ac:dyDescent="0.3">
      <c r="A2412" t="str">
        <f>"670013010"</f>
        <v>670013010</v>
      </c>
      <c r="B2412" t="str">
        <f>"778 735 217 00128"</f>
        <v>778 735 217 00128</v>
      </c>
      <c r="D2412" t="str">
        <f>"CENTRE DE SANTE DENTAIRE DU SONNENHOF"</f>
        <v>CENTRE DE SANTE DENTAIRE DU SONNENHOF</v>
      </c>
      <c r="F2412" t="str">
        <f>"22 RUE D'OBERHOFFEN"</f>
        <v>22 RUE D'OBERHOFFEN</v>
      </c>
      <c r="G2412" t="str">
        <f>"CS 80041"</f>
        <v>CS 80041</v>
      </c>
      <c r="H2412" t="str">
        <f>"67242"</f>
        <v>67242</v>
      </c>
      <c r="I2412" t="str">
        <f>"BISCHWILLER CEDEX"</f>
        <v>BISCHWILLER CEDEX</v>
      </c>
      <c r="J2412" t="str">
        <f>"03 88 80 24 34 "</f>
        <v xml:space="preserve">03 88 80 24 34 </v>
      </c>
      <c r="K2412" t="str">
        <f>"03 88 80 23 10"</f>
        <v>03 88 80 23 10</v>
      </c>
      <c r="L2412" s="1">
        <v>35461</v>
      </c>
      <c r="M2412" t="str">
        <f t="shared" si="373"/>
        <v>124</v>
      </c>
      <c r="N2412" t="str">
        <f t="shared" si="374"/>
        <v>Centre de Santé</v>
      </c>
      <c r="O2412" t="str">
        <f>"63"</f>
        <v>63</v>
      </c>
      <c r="P2412" t="str">
        <f>"Fondation"</f>
        <v>Fondation</v>
      </c>
      <c r="Q2412" t="str">
        <f t="shared" si="375"/>
        <v>36</v>
      </c>
      <c r="R2412" t="str">
        <f t="shared" si="376"/>
        <v>Tarifs conventionnels assurance maladie</v>
      </c>
      <c r="U2412" t="str">
        <f>"670000223"</f>
        <v>670000223</v>
      </c>
    </row>
    <row r="2413" spans="1:21" x14ac:dyDescent="0.3">
      <c r="A2413" t="str">
        <f>"060019247"</f>
        <v>060019247</v>
      </c>
      <c r="D2413" t="str">
        <f>"CDS DENTAIRE"</f>
        <v>CDS DENTAIRE</v>
      </c>
      <c r="F2413" t="str">
        <f>"5 BOULEVARD GÉNÉRAL VAUTRIN"</f>
        <v>5 BOULEVARD GÉNÉRAL VAUTRIN</v>
      </c>
      <c r="H2413" t="str">
        <f>"06400"</f>
        <v>06400</v>
      </c>
      <c r="I2413" t="str">
        <f>"CANNES"</f>
        <v>CANNES</v>
      </c>
      <c r="J2413" t="str">
        <f>"04 97 06 68 68 "</f>
        <v xml:space="preserve">04 97 06 68 68 </v>
      </c>
      <c r="K2413" t="str">
        <f>"04 97 06 68 60"</f>
        <v>04 97 06 68 60</v>
      </c>
      <c r="L2413" s="1">
        <v>35453</v>
      </c>
      <c r="M2413" t="str">
        <f t="shared" si="373"/>
        <v>124</v>
      </c>
      <c r="N2413" t="str">
        <f t="shared" si="374"/>
        <v>Centre de Santé</v>
      </c>
      <c r="O2413" t="str">
        <f>"47"</f>
        <v>47</v>
      </c>
      <c r="P2413" t="str">
        <f>"Société Mutualiste"</f>
        <v>Société Mutualiste</v>
      </c>
      <c r="Q2413" t="str">
        <f t="shared" si="375"/>
        <v>36</v>
      </c>
      <c r="R2413" t="str">
        <f t="shared" si="376"/>
        <v>Tarifs conventionnels assurance maladie</v>
      </c>
      <c r="U2413" t="str">
        <f>"130007032"</f>
        <v>130007032</v>
      </c>
    </row>
    <row r="2414" spans="1:21" x14ac:dyDescent="0.3">
      <c r="A2414" t="str">
        <f>"060019254"</f>
        <v>060019254</v>
      </c>
      <c r="D2414" t="str">
        <f>"CDS DENTAIRE"</f>
        <v>CDS DENTAIRE</v>
      </c>
      <c r="E2414" t="str">
        <f>"CANNES LA BOCCA"</f>
        <v>CANNES LA BOCCA</v>
      </c>
      <c r="F2414" t="str">
        <f>"40 AVENUE FRANCIS TONNER"</f>
        <v>40 AVENUE FRANCIS TONNER</v>
      </c>
      <c r="H2414" t="str">
        <f>"06400"</f>
        <v>06400</v>
      </c>
      <c r="I2414" t="str">
        <f>"CANNES"</f>
        <v>CANNES</v>
      </c>
      <c r="J2414" t="str">
        <f>"04 93 48 05 80 "</f>
        <v xml:space="preserve">04 93 48 05 80 </v>
      </c>
      <c r="K2414" t="str">
        <f>"04 93 90 37 19"</f>
        <v>04 93 90 37 19</v>
      </c>
      <c r="L2414" s="1">
        <v>35453</v>
      </c>
      <c r="M2414" t="str">
        <f t="shared" si="373"/>
        <v>124</v>
      </c>
      <c r="N2414" t="str">
        <f t="shared" si="374"/>
        <v>Centre de Santé</v>
      </c>
      <c r="O2414" t="str">
        <f>"47"</f>
        <v>47</v>
      </c>
      <c r="P2414" t="str">
        <f>"Société Mutualiste"</f>
        <v>Société Mutualiste</v>
      </c>
      <c r="Q2414" t="str">
        <f t="shared" si="375"/>
        <v>36</v>
      </c>
      <c r="R2414" t="str">
        <f t="shared" si="376"/>
        <v>Tarifs conventionnels assurance maladie</v>
      </c>
      <c r="U2414" t="str">
        <f>"130007032"</f>
        <v>130007032</v>
      </c>
    </row>
    <row r="2415" spans="1:21" x14ac:dyDescent="0.3">
      <c r="A2415" t="str">
        <f>"750036956"</f>
        <v>750036956</v>
      </c>
      <c r="B2415" t="str">
        <f>"819 190 174 00014"</f>
        <v>819 190 174 00014</v>
      </c>
      <c r="D2415" t="str">
        <f>"CDS SAINT LAZARE"</f>
        <v>CDS SAINT LAZARE</v>
      </c>
      <c r="F2415" t="str">
        <f>"46 RUE DE LONDRES"</f>
        <v>46 RUE DE LONDRES</v>
      </c>
      <c r="H2415" t="str">
        <f>"75008"</f>
        <v>75008</v>
      </c>
      <c r="I2415" t="str">
        <f>"PARIS"</f>
        <v>PARIS</v>
      </c>
      <c r="J2415" t="str">
        <f>"01 45 22 09 71 "</f>
        <v xml:space="preserve">01 45 22 09 71 </v>
      </c>
      <c r="K2415" t="str">
        <f>"01 44 70 95 96"</f>
        <v>01 44 70 95 96</v>
      </c>
      <c r="L2415" s="1">
        <v>35438</v>
      </c>
      <c r="M2415" t="str">
        <f t="shared" si="373"/>
        <v>124</v>
      </c>
      <c r="N2415" t="str">
        <f t="shared" si="374"/>
        <v>Centre de Santé</v>
      </c>
      <c r="O2415" t="str">
        <f>"60"</f>
        <v>60</v>
      </c>
      <c r="P2415" t="str">
        <f>"Association Loi 1901 non Reconnue d'Utilité Publique"</f>
        <v>Association Loi 1901 non Reconnue d'Utilité Publique</v>
      </c>
      <c r="Q2415" t="str">
        <f t="shared" si="375"/>
        <v>36</v>
      </c>
      <c r="R2415" t="str">
        <f t="shared" si="376"/>
        <v>Tarifs conventionnels assurance maladie</v>
      </c>
      <c r="U2415" t="str">
        <f>"750058596"</f>
        <v>750058596</v>
      </c>
    </row>
    <row r="2416" spans="1:21" x14ac:dyDescent="0.3">
      <c r="A2416" t="str">
        <f>"130034374"</f>
        <v>130034374</v>
      </c>
      <c r="D2416" t="str">
        <f>"CDS MEDICAL SAINT MARTIN"</f>
        <v>CDS MEDICAL SAINT MARTIN</v>
      </c>
      <c r="F2416" t="str">
        <f>"183 ROUTE DES CAMOINS"</f>
        <v>183 ROUTE DES CAMOINS</v>
      </c>
      <c r="H2416" t="str">
        <f>"13011"</f>
        <v>13011</v>
      </c>
      <c r="I2416" t="str">
        <f>"MARSEILLE"</f>
        <v>MARSEILLE</v>
      </c>
      <c r="J2416" t="str">
        <f>"04 91 27 30 06 "</f>
        <v xml:space="preserve">04 91 27 30 06 </v>
      </c>
      <c r="L2416" s="1">
        <v>35437</v>
      </c>
      <c r="M2416" t="str">
        <f t="shared" si="373"/>
        <v>124</v>
      </c>
      <c r="N2416" t="str">
        <f t="shared" si="374"/>
        <v>Centre de Santé</v>
      </c>
      <c r="O2416" t="str">
        <f>"60"</f>
        <v>60</v>
      </c>
      <c r="P2416" t="str">
        <f>"Association Loi 1901 non Reconnue d'Utilité Publique"</f>
        <v>Association Loi 1901 non Reconnue d'Utilité Publique</v>
      </c>
      <c r="Q2416" t="str">
        <f t="shared" si="375"/>
        <v>36</v>
      </c>
      <c r="R2416" t="str">
        <f t="shared" si="376"/>
        <v>Tarifs conventionnels assurance maladie</v>
      </c>
      <c r="U2416" t="str">
        <f>"130034366"</f>
        <v>130034366</v>
      </c>
    </row>
    <row r="2417" spans="1:21" x14ac:dyDescent="0.3">
      <c r="A2417" t="str">
        <f>"160005443"</f>
        <v>160005443</v>
      </c>
      <c r="B2417" t="str">
        <f>"781 166 285 00150"</f>
        <v>781 166 285 00150</v>
      </c>
      <c r="D2417" t="str">
        <f>"CENTRE DE SANTE - MUT. 16"</f>
        <v>CENTRE DE SANTE - MUT. 16</v>
      </c>
      <c r="F2417" t="str">
        <f>"ZONE INDUSTRIELLE DE LA CROIX ST GEORGE"</f>
        <v>ZONE INDUSTRIELLE DE LA CROIX ST GEORGE</v>
      </c>
      <c r="H2417" t="str">
        <f>"16500"</f>
        <v>16500</v>
      </c>
      <c r="I2417" t="str">
        <f>"CONFOLENS"</f>
        <v>CONFOLENS</v>
      </c>
      <c r="J2417" t="str">
        <f>"05 45 85 47 20 "</f>
        <v xml:space="preserve">05 45 85 47 20 </v>
      </c>
      <c r="L2417" s="1">
        <v>35432</v>
      </c>
      <c r="M2417" t="str">
        <f t="shared" si="373"/>
        <v>124</v>
      </c>
      <c r="N2417" t="str">
        <f t="shared" si="374"/>
        <v>Centre de Santé</v>
      </c>
      <c r="O2417" t="str">
        <f>"47"</f>
        <v>47</v>
      </c>
      <c r="P2417" t="str">
        <f>"Société Mutualiste"</f>
        <v>Société Mutualiste</v>
      </c>
      <c r="Q2417" t="str">
        <f t="shared" si="375"/>
        <v>36</v>
      </c>
      <c r="R2417" t="str">
        <f t="shared" si="376"/>
        <v>Tarifs conventionnels assurance maladie</v>
      </c>
      <c r="U2417" t="str">
        <f>"160009908"</f>
        <v>160009908</v>
      </c>
    </row>
    <row r="2418" spans="1:21" x14ac:dyDescent="0.3">
      <c r="A2418" t="str">
        <f>"310016597"</f>
        <v>310016597</v>
      </c>
      <c r="D2418" t="str">
        <f>"CENTRE DE SANTE DE RANGUEIL"</f>
        <v>CENTRE DE SANTE DE RANGUEIL</v>
      </c>
      <c r="E2418" t="str">
        <f>"BT FORUM LOUIS LARENG"</f>
        <v>BT FORUM LOUIS LARENG</v>
      </c>
      <c r="F2418" t="str">
        <f>"118 ROUTE DE NARBONNE"</f>
        <v>118 ROUTE DE NARBONNE</v>
      </c>
      <c r="H2418" t="str">
        <f>"31062"</f>
        <v>31062</v>
      </c>
      <c r="I2418" t="str">
        <f>"TOULOUSE CEDEX 9"</f>
        <v>TOULOUSE CEDEX 9</v>
      </c>
      <c r="J2418" t="str">
        <f>"05 61 55 73 67 "</f>
        <v xml:space="preserve">05 61 55 73 67 </v>
      </c>
      <c r="K2418" t="str">
        <f>"05 61 55 73 68"</f>
        <v>05 61 55 73 68</v>
      </c>
      <c r="L2418" s="1">
        <v>35431</v>
      </c>
      <c r="M2418" t="str">
        <f t="shared" si="373"/>
        <v>124</v>
      </c>
      <c r="N2418" t="str">
        <f t="shared" si="374"/>
        <v>Centre de Santé</v>
      </c>
      <c r="O2418" t="str">
        <f>"26"</f>
        <v>26</v>
      </c>
      <c r="P2418" t="str">
        <f>"Autre Etablissement Public à Caractère Administratif"</f>
        <v>Autre Etablissement Public à Caractère Administratif</v>
      </c>
      <c r="Q2418" t="str">
        <f t="shared" si="375"/>
        <v>36</v>
      </c>
      <c r="R2418" t="str">
        <f t="shared" si="376"/>
        <v>Tarifs conventionnels assurance maladie</v>
      </c>
      <c r="U2418" t="str">
        <f>"310790282"</f>
        <v>310790282</v>
      </c>
    </row>
    <row r="2419" spans="1:21" x14ac:dyDescent="0.3">
      <c r="A2419" t="str">
        <f>"310016605"</f>
        <v>310016605</v>
      </c>
      <c r="D2419" t="str">
        <f>"CENTRE DE SANTE DU MIRAIL"</f>
        <v>CENTRE DE SANTE DU MIRAIL</v>
      </c>
      <c r="F2419" t="str">
        <f>"5 ALLEE ANTONIO MACHADO"</f>
        <v>5 ALLEE ANTONIO MACHADO</v>
      </c>
      <c r="H2419" t="str">
        <f>"31058"</f>
        <v>31058</v>
      </c>
      <c r="I2419" t="str">
        <f>"TOULOUSE CEDEX 9"</f>
        <v>TOULOUSE CEDEX 9</v>
      </c>
      <c r="J2419" t="str">
        <f>"05 61 50 41 41 "</f>
        <v xml:space="preserve">05 61 50 41 41 </v>
      </c>
      <c r="K2419" t="str">
        <f>"05 61 50 38 60"</f>
        <v>05 61 50 38 60</v>
      </c>
      <c r="L2419" s="1">
        <v>35431</v>
      </c>
      <c r="M2419" t="str">
        <f t="shared" si="373"/>
        <v>124</v>
      </c>
      <c r="N2419" t="str">
        <f t="shared" si="374"/>
        <v>Centre de Santé</v>
      </c>
      <c r="O2419" t="str">
        <f>"26"</f>
        <v>26</v>
      </c>
      <c r="P2419" t="str">
        <f>"Autre Etablissement Public à Caractère Administratif"</f>
        <v>Autre Etablissement Public à Caractère Administratif</v>
      </c>
      <c r="Q2419" t="str">
        <f t="shared" si="375"/>
        <v>36</v>
      </c>
      <c r="R2419" t="str">
        <f t="shared" si="376"/>
        <v>Tarifs conventionnels assurance maladie</v>
      </c>
      <c r="U2419" t="str">
        <f>"310790282"</f>
        <v>310790282</v>
      </c>
    </row>
    <row r="2420" spans="1:21" x14ac:dyDescent="0.3">
      <c r="A2420" t="str">
        <f>"310016613"</f>
        <v>310016613</v>
      </c>
      <c r="D2420" t="str">
        <f>"CENTRE SANTE DE L'ARSENAL"</f>
        <v>CENTRE SANTE DE L'ARSENAL</v>
      </c>
      <c r="F2420" t="str">
        <f>"2 RUE DOYEN GABRIEL MARTY"</f>
        <v>2 RUE DOYEN GABRIEL MARTY</v>
      </c>
      <c r="H2420" t="str">
        <f>"31042"</f>
        <v>31042</v>
      </c>
      <c r="I2420" t="str">
        <f>"TOULOUSE CEDEX 9"</f>
        <v>TOULOUSE CEDEX 9</v>
      </c>
      <c r="J2420" t="str">
        <f>"05 61 63 37 25 "</f>
        <v xml:space="preserve">05 61 63 37 25 </v>
      </c>
      <c r="K2420" t="str">
        <f>"05 61 22 73 22"</f>
        <v>05 61 22 73 22</v>
      </c>
      <c r="L2420" s="1">
        <v>35431</v>
      </c>
      <c r="M2420" t="str">
        <f t="shared" si="373"/>
        <v>124</v>
      </c>
      <c r="N2420" t="str">
        <f t="shared" si="374"/>
        <v>Centre de Santé</v>
      </c>
      <c r="O2420" t="str">
        <f>"26"</f>
        <v>26</v>
      </c>
      <c r="P2420" t="str">
        <f>"Autre Etablissement Public à Caractère Administratif"</f>
        <v>Autre Etablissement Public à Caractère Administratif</v>
      </c>
      <c r="Q2420" t="str">
        <f t="shared" si="375"/>
        <v>36</v>
      </c>
      <c r="R2420" t="str">
        <f t="shared" si="376"/>
        <v>Tarifs conventionnels assurance maladie</v>
      </c>
      <c r="U2420" t="str">
        <f>"310790282"</f>
        <v>310790282</v>
      </c>
    </row>
    <row r="2421" spans="1:21" x14ac:dyDescent="0.3">
      <c r="A2421" t="str">
        <f>"160010351"</f>
        <v>160010351</v>
      </c>
      <c r="B2421" t="str">
        <f>"781 166 285 00515"</f>
        <v>781 166 285 00515</v>
      </c>
      <c r="D2421" t="str">
        <f>"CDS ESPACE DENTAIRE MUTUALISTE"</f>
        <v>CDS ESPACE DENTAIRE MUTUALISTE</v>
      </c>
      <c r="F2421" t="str">
        <f>"55 AVENUE D'ANGOULEME"</f>
        <v>55 AVENUE D'ANGOULEME</v>
      </c>
      <c r="H2421" t="str">
        <f>"16100"</f>
        <v>16100</v>
      </c>
      <c r="I2421" t="str">
        <f>"CHATEAUBERNARD"</f>
        <v>CHATEAUBERNARD</v>
      </c>
      <c r="J2421" t="str">
        <f>"05 45 32 28 00 "</f>
        <v xml:space="preserve">05 45 32 28 00 </v>
      </c>
      <c r="K2421" t="str">
        <f>"05 45 35 47 62"</f>
        <v>05 45 35 47 62</v>
      </c>
      <c r="L2421" s="1">
        <v>35414</v>
      </c>
      <c r="M2421" t="str">
        <f t="shared" si="373"/>
        <v>124</v>
      </c>
      <c r="N2421" t="str">
        <f t="shared" si="374"/>
        <v>Centre de Santé</v>
      </c>
      <c r="O2421" t="str">
        <f>"47"</f>
        <v>47</v>
      </c>
      <c r="P2421" t="str">
        <f>"Société Mutualiste"</f>
        <v>Société Mutualiste</v>
      </c>
      <c r="Q2421" t="str">
        <f t="shared" si="375"/>
        <v>36</v>
      </c>
      <c r="R2421" t="str">
        <f t="shared" si="376"/>
        <v>Tarifs conventionnels assurance maladie</v>
      </c>
      <c r="U2421" t="str">
        <f>"160009908"</f>
        <v>160009908</v>
      </c>
    </row>
    <row r="2422" spans="1:21" x14ac:dyDescent="0.3">
      <c r="A2422" t="str">
        <f>"870010121"</f>
        <v>870010121</v>
      </c>
      <c r="B2422" t="str">
        <f>"775 716 673 00980"</f>
        <v>775 716 673 00980</v>
      </c>
      <c r="D2422" t="str">
        <f>"CENTRE DE SANTE DENTAIRE"</f>
        <v>CENTRE DE SANTE DENTAIRE</v>
      </c>
      <c r="F2422" t="str">
        <f>"2 RUE LEONARD LIMOSIN"</f>
        <v>2 RUE LEONARD LIMOSIN</v>
      </c>
      <c r="H2422" t="str">
        <f>"87000"</f>
        <v>87000</v>
      </c>
      <c r="I2422" t="str">
        <f>"LIMOGES"</f>
        <v>LIMOGES</v>
      </c>
      <c r="J2422" t="str">
        <f>"05 55 77 00 74 "</f>
        <v xml:space="preserve">05 55 77 00 74 </v>
      </c>
      <c r="L2422" s="1">
        <v>35400</v>
      </c>
      <c r="M2422" t="str">
        <f t="shared" si="373"/>
        <v>124</v>
      </c>
      <c r="N2422" t="str">
        <f t="shared" si="374"/>
        <v>Centre de Santé</v>
      </c>
      <c r="O2422" t="str">
        <f>"47"</f>
        <v>47</v>
      </c>
      <c r="P2422" t="str">
        <f>"Société Mutualiste"</f>
        <v>Société Mutualiste</v>
      </c>
      <c r="Q2422" t="str">
        <f t="shared" si="375"/>
        <v>36</v>
      </c>
      <c r="R2422" t="str">
        <f t="shared" si="376"/>
        <v>Tarifs conventionnels assurance maladie</v>
      </c>
      <c r="U2422" t="str">
        <f>"870016722"</f>
        <v>870016722</v>
      </c>
    </row>
    <row r="2423" spans="1:21" x14ac:dyDescent="0.3">
      <c r="A2423" t="str">
        <f>"330057985"</f>
        <v>330057985</v>
      </c>
      <c r="B2423" t="str">
        <f>"193 300 068 00049"</f>
        <v>193 300 068 00049</v>
      </c>
      <c r="D2423" t="str">
        <f>"ANNEXE CENTRE SANTE ETUDIANTS-SUMPPS"</f>
        <v>ANNEXE CENTRE SANTE ETUDIANTS-SUMPPS</v>
      </c>
      <c r="E2423" t="str">
        <f>"BÂT F - 1ER ÉTAGE"</f>
        <v>BÂT F - 1ER ÉTAGE</v>
      </c>
      <c r="F2423" t="str">
        <f>"3 PLACE DE LA VICTOIRE"</f>
        <v>3 PLACE DE LA VICTOIRE</v>
      </c>
      <c r="H2423" t="str">
        <f>"33076"</f>
        <v>33076</v>
      </c>
      <c r="I2423" t="str">
        <f>"BORDEAUX CEDEX"</f>
        <v>BORDEAUX CEDEX</v>
      </c>
      <c r="J2423" t="str">
        <f>"05 56 04 06 06 "</f>
        <v xml:space="preserve">05 56 04 06 06 </v>
      </c>
      <c r="K2423" t="str">
        <f>"05 56 84 96 75"</f>
        <v>05 56 84 96 75</v>
      </c>
      <c r="L2423" s="1">
        <v>35347</v>
      </c>
      <c r="M2423" t="str">
        <f t="shared" si="373"/>
        <v>124</v>
      </c>
      <c r="N2423" t="str">
        <f t="shared" si="374"/>
        <v>Centre de Santé</v>
      </c>
      <c r="O2423" t="str">
        <f>"26"</f>
        <v>26</v>
      </c>
      <c r="P2423" t="str">
        <f>"Autre Etablissement Public à Caractère Administratif"</f>
        <v>Autre Etablissement Public à Caractère Administratif</v>
      </c>
      <c r="Q2423" t="str">
        <f t="shared" si="375"/>
        <v>36</v>
      </c>
      <c r="R2423" t="str">
        <f t="shared" si="376"/>
        <v>Tarifs conventionnels assurance maladie</v>
      </c>
      <c r="U2423" t="str">
        <f>"330057944"</f>
        <v>330057944</v>
      </c>
    </row>
    <row r="2424" spans="1:21" x14ac:dyDescent="0.3">
      <c r="A2424" t="str">
        <f>"330792672"</f>
        <v>330792672</v>
      </c>
      <c r="B2424" t="str">
        <f>"193 300 068 00049"</f>
        <v>193 300 068 00049</v>
      </c>
      <c r="D2424" t="str">
        <f>"ESPACE SANTE ETUDIANTS"</f>
        <v>ESPACE SANTE ETUDIANTS</v>
      </c>
      <c r="F2424" t="str">
        <f>"22 AVENUE PEY BERLAND"</f>
        <v>22 AVENUE PEY BERLAND</v>
      </c>
      <c r="H2424" t="str">
        <f>"33600"</f>
        <v>33600</v>
      </c>
      <c r="I2424" t="str">
        <f>"PESSAC"</f>
        <v>PESSAC</v>
      </c>
      <c r="J2424" t="str">
        <f>"05 33 51 42 00 "</f>
        <v xml:space="preserve">05 33 51 42 00 </v>
      </c>
      <c r="K2424" t="str">
        <f>"05 33 51 42 39"</f>
        <v>05 33 51 42 39</v>
      </c>
      <c r="L2424" s="1">
        <v>35347</v>
      </c>
      <c r="M2424" t="str">
        <f t="shared" si="373"/>
        <v>124</v>
      </c>
      <c r="N2424" t="str">
        <f t="shared" si="374"/>
        <v>Centre de Santé</v>
      </c>
      <c r="O2424" t="str">
        <f>"26"</f>
        <v>26</v>
      </c>
      <c r="P2424" t="str">
        <f>"Autre Etablissement Public à Caractère Administratif"</f>
        <v>Autre Etablissement Public à Caractère Administratif</v>
      </c>
      <c r="Q2424" t="str">
        <f t="shared" si="375"/>
        <v>36</v>
      </c>
      <c r="R2424" t="str">
        <f t="shared" si="376"/>
        <v>Tarifs conventionnels assurance maladie</v>
      </c>
      <c r="U2424" t="str">
        <f>"330057944"</f>
        <v>330057944</v>
      </c>
    </row>
    <row r="2425" spans="1:21" x14ac:dyDescent="0.3">
      <c r="A2425" t="str">
        <f>"380789016"</f>
        <v>380789016</v>
      </c>
      <c r="B2425" t="str">
        <f>"310 591 961 00035"</f>
        <v>310 591 961 00035</v>
      </c>
      <c r="D2425" t="str">
        <f>"CENTRE DE SANTE AMSID DOMENE"</f>
        <v>CENTRE DE SANTE AMSID DOMENE</v>
      </c>
      <c r="E2425" t="str">
        <f>"RESIDENCE LES PINS"</f>
        <v>RESIDENCE LES PINS</v>
      </c>
      <c r="F2425" t="str">
        <f>"22 RUE EMILE BLANC"</f>
        <v>22 RUE EMILE BLANC</v>
      </c>
      <c r="H2425" t="str">
        <f>"38420"</f>
        <v>38420</v>
      </c>
      <c r="I2425" t="str">
        <f>"DOMENE"</f>
        <v>DOMENE</v>
      </c>
      <c r="J2425" t="str">
        <f>"04 76 77 05 17 "</f>
        <v xml:space="preserve">04 76 77 05 17 </v>
      </c>
      <c r="K2425" t="str">
        <f>"04 76 77 05 17"</f>
        <v>04 76 77 05 17</v>
      </c>
      <c r="L2425" s="1">
        <v>35309</v>
      </c>
      <c r="M2425" t="str">
        <f t="shared" si="373"/>
        <v>124</v>
      </c>
      <c r="N2425" t="str">
        <f t="shared" si="374"/>
        <v>Centre de Santé</v>
      </c>
      <c r="O2425" t="str">
        <f>"60"</f>
        <v>60</v>
      </c>
      <c r="P2425" t="str">
        <f>"Association Loi 1901 non Reconnue d'Utilité Publique"</f>
        <v>Association Loi 1901 non Reconnue d'Utilité Publique</v>
      </c>
      <c r="Q2425" t="str">
        <f t="shared" si="375"/>
        <v>36</v>
      </c>
      <c r="R2425" t="str">
        <f t="shared" si="376"/>
        <v>Tarifs conventionnels assurance maladie</v>
      </c>
      <c r="U2425" t="str">
        <f>"380795039"</f>
        <v>380795039</v>
      </c>
    </row>
    <row r="2426" spans="1:21" x14ac:dyDescent="0.3">
      <c r="A2426" t="str">
        <f>"860782135"</f>
        <v>860782135</v>
      </c>
      <c r="B2426" t="str">
        <f>"314 054 966 00028"</f>
        <v>314 054 966 00028</v>
      </c>
      <c r="D2426" t="str">
        <f>"CDS SOINS INFIRMIERS DE LENCLOITRE"</f>
        <v>CDS SOINS INFIRMIERS DE LENCLOITRE</v>
      </c>
      <c r="F2426" t="str">
        <f>"12 RUE SAINT EXUPERY"</f>
        <v>12 RUE SAINT EXUPERY</v>
      </c>
      <c r="H2426" t="str">
        <f>"86140"</f>
        <v>86140</v>
      </c>
      <c r="I2426" t="str">
        <f>"LENCLOITRE"</f>
        <v>LENCLOITRE</v>
      </c>
      <c r="J2426" t="str">
        <f>"05 49 90 72 84 "</f>
        <v xml:space="preserve">05 49 90 72 84 </v>
      </c>
      <c r="K2426" t="str">
        <f>"05 49 90 72 84"</f>
        <v>05 49 90 72 84</v>
      </c>
      <c r="L2426" s="1">
        <v>35297</v>
      </c>
      <c r="M2426" t="str">
        <f t="shared" si="373"/>
        <v>124</v>
      </c>
      <c r="N2426" t="str">
        <f t="shared" si="374"/>
        <v>Centre de Santé</v>
      </c>
      <c r="O2426" t="str">
        <f>"60"</f>
        <v>60</v>
      </c>
      <c r="P2426" t="str">
        <f>"Association Loi 1901 non Reconnue d'Utilité Publique"</f>
        <v>Association Loi 1901 non Reconnue d'Utilité Publique</v>
      </c>
      <c r="Q2426" t="str">
        <f t="shared" si="375"/>
        <v>36</v>
      </c>
      <c r="R2426" t="str">
        <f t="shared" si="376"/>
        <v>Tarifs conventionnels assurance maladie</v>
      </c>
      <c r="U2426" t="str">
        <f>"860000249"</f>
        <v>860000249</v>
      </c>
    </row>
    <row r="2427" spans="1:21" x14ac:dyDescent="0.3">
      <c r="A2427" t="str">
        <f>"750003691"</f>
        <v>750003691</v>
      </c>
      <c r="B2427" t="str">
        <f>"409 524 568 00014"</f>
        <v>409 524 568 00014</v>
      </c>
      <c r="D2427" t="str">
        <f>"CDS DENTAIRE DUGOMMIER"</f>
        <v>CDS DENTAIRE DUGOMMIER</v>
      </c>
      <c r="F2427" t="str">
        <f>"250 RUE DE CHARENTON"</f>
        <v>250 RUE DE CHARENTON</v>
      </c>
      <c r="H2427" t="str">
        <f>"75012"</f>
        <v>75012</v>
      </c>
      <c r="I2427" t="str">
        <f>"PARIS"</f>
        <v>PARIS</v>
      </c>
      <c r="J2427" t="str">
        <f>"01 44 73 88 00 "</f>
        <v xml:space="preserve">01 44 73 88 00 </v>
      </c>
      <c r="K2427" t="str">
        <f>"01 44 73 08 88"</f>
        <v>01 44 73 08 88</v>
      </c>
      <c r="L2427" s="1">
        <v>35230</v>
      </c>
      <c r="M2427" t="str">
        <f t="shared" si="373"/>
        <v>124</v>
      </c>
      <c r="N2427" t="str">
        <f t="shared" si="374"/>
        <v>Centre de Santé</v>
      </c>
      <c r="O2427" t="str">
        <f>"60"</f>
        <v>60</v>
      </c>
      <c r="P2427" t="str">
        <f>"Association Loi 1901 non Reconnue d'Utilité Publique"</f>
        <v>Association Loi 1901 non Reconnue d'Utilité Publique</v>
      </c>
      <c r="Q2427" t="str">
        <f t="shared" si="375"/>
        <v>36</v>
      </c>
      <c r="R2427" t="str">
        <f t="shared" si="376"/>
        <v>Tarifs conventionnels assurance maladie</v>
      </c>
      <c r="U2427" t="str">
        <f>"750003683"</f>
        <v>750003683</v>
      </c>
    </row>
    <row r="2428" spans="1:21" x14ac:dyDescent="0.3">
      <c r="A2428" t="str">
        <f>"380804690"</f>
        <v>380804690</v>
      </c>
      <c r="D2428" t="str">
        <f>"CENTRE DE SANTE UNIVERSITE ST-MARTIN"</f>
        <v>CENTRE DE SANTE UNIVERSITE ST-MARTIN</v>
      </c>
      <c r="E2428" t="str">
        <f>"UNIVERSITE DE GRENOBLE"</f>
        <v>UNIVERSITE DE GRENOBLE</v>
      </c>
      <c r="F2428" t="str">
        <f>"180 RUE DE LA PISCINE"</f>
        <v>180 RUE DE LA PISCINE</v>
      </c>
      <c r="H2428" t="str">
        <f>"38402"</f>
        <v>38402</v>
      </c>
      <c r="I2428" t="str">
        <f>"ST MARTIN D HERES CEDEX"</f>
        <v>ST MARTIN D HERES CEDEX</v>
      </c>
      <c r="J2428" t="str">
        <f>"04 76 82 40 70 "</f>
        <v xml:space="preserve">04 76 82 40 70 </v>
      </c>
      <c r="K2428" t="str">
        <f>"04 76 82 40 71"</f>
        <v>04 76 82 40 71</v>
      </c>
      <c r="L2428" s="1">
        <v>35156</v>
      </c>
      <c r="M2428" t="str">
        <f t="shared" si="373"/>
        <v>124</v>
      </c>
      <c r="N2428" t="str">
        <f t="shared" si="374"/>
        <v>Centre de Santé</v>
      </c>
      <c r="O2428" t="str">
        <f>"26"</f>
        <v>26</v>
      </c>
      <c r="P2428" t="str">
        <f>"Autre Etablissement Public à Caractère Administratif"</f>
        <v>Autre Etablissement Public à Caractère Administratif</v>
      </c>
      <c r="Q2428" t="str">
        <f t="shared" si="375"/>
        <v>36</v>
      </c>
      <c r="R2428" t="str">
        <f t="shared" si="376"/>
        <v>Tarifs conventionnels assurance maladie</v>
      </c>
      <c r="U2428" t="str">
        <f>"380020453"</f>
        <v>380020453</v>
      </c>
    </row>
    <row r="2429" spans="1:21" x14ac:dyDescent="0.3">
      <c r="A2429" t="str">
        <f>"380804708"</f>
        <v>380804708</v>
      </c>
      <c r="D2429" t="str">
        <f>"CENTRE DE SANTE UNIVERSITE GRENOBLE"</f>
        <v>CENTRE DE SANTE UNIVERSITE GRENOBLE</v>
      </c>
      <c r="F2429" t="str">
        <f>"10 RUE VASSIEUX-EN-VERCORS"</f>
        <v>10 RUE VASSIEUX-EN-VERCORS</v>
      </c>
      <c r="H2429" t="str">
        <f>"38000"</f>
        <v>38000</v>
      </c>
      <c r="I2429" t="str">
        <f>"GRENOBLE"</f>
        <v>GRENOBLE</v>
      </c>
      <c r="J2429" t="str">
        <f>"04 76 82 76 88 "</f>
        <v xml:space="preserve">04 76 82 76 88 </v>
      </c>
      <c r="L2429" s="1">
        <v>35156</v>
      </c>
      <c r="M2429" t="str">
        <f t="shared" si="373"/>
        <v>124</v>
      </c>
      <c r="N2429" t="str">
        <f t="shared" si="374"/>
        <v>Centre de Santé</v>
      </c>
      <c r="O2429" t="str">
        <f>"26"</f>
        <v>26</v>
      </c>
      <c r="P2429" t="str">
        <f>"Autre Etablissement Public à Caractère Administratif"</f>
        <v>Autre Etablissement Public à Caractère Administratif</v>
      </c>
      <c r="Q2429" t="str">
        <f t="shared" si="375"/>
        <v>36</v>
      </c>
      <c r="R2429" t="str">
        <f t="shared" si="376"/>
        <v>Tarifs conventionnels assurance maladie</v>
      </c>
      <c r="U2429" t="str">
        <f>"380020453"</f>
        <v>380020453</v>
      </c>
    </row>
    <row r="2430" spans="1:21" x14ac:dyDescent="0.3">
      <c r="A2430" t="str">
        <f>"750003535"</f>
        <v>750003535</v>
      </c>
      <c r="B2430" t="str">
        <f>"444 410 674 00030"</f>
        <v>444 410 674 00030</v>
      </c>
      <c r="D2430" t="str">
        <f>"CSP MEDICAL ET DENTAIRE RATP"</f>
        <v>CSP MEDICAL ET DENTAIRE RATP</v>
      </c>
      <c r="E2430" t="str">
        <f>"1ER ETAGE"</f>
        <v>1ER ETAGE</v>
      </c>
      <c r="F2430" t="str">
        <f>"62 QUARTIER DE LA RAPEE"</f>
        <v>62 QUARTIER DE LA RAPEE</v>
      </c>
      <c r="H2430" t="str">
        <f>"75012"</f>
        <v>75012</v>
      </c>
      <c r="I2430" t="str">
        <f>"PARIS"</f>
        <v>PARIS</v>
      </c>
      <c r="J2430" t="str">
        <f>"09 69 39 11 70 "</f>
        <v xml:space="preserve">09 69 39 11 70 </v>
      </c>
      <c r="L2430" s="1">
        <v>35156</v>
      </c>
      <c r="M2430" t="str">
        <f t="shared" si="373"/>
        <v>124</v>
      </c>
      <c r="N2430" t="str">
        <f t="shared" si="374"/>
        <v>Centre de Santé</v>
      </c>
      <c r="O2430" t="str">
        <f>"47"</f>
        <v>47</v>
      </c>
      <c r="P2430" t="str">
        <f>"Société Mutualiste"</f>
        <v>Société Mutualiste</v>
      </c>
      <c r="Q2430" t="str">
        <f t="shared" si="375"/>
        <v>36</v>
      </c>
      <c r="R2430" t="str">
        <f t="shared" si="376"/>
        <v>Tarifs conventionnels assurance maladie</v>
      </c>
      <c r="U2430" t="str">
        <f>"750804403"</f>
        <v>750804403</v>
      </c>
    </row>
    <row r="2431" spans="1:21" x14ac:dyDescent="0.3">
      <c r="A2431" t="str">
        <f>"750002693"</f>
        <v>750002693</v>
      </c>
      <c r="B2431" t="str">
        <f>"411 584 758 00022"</f>
        <v>411 584 758 00022</v>
      </c>
      <c r="D2431" t="str">
        <f>"CDS CENTRE PSYCHOTHERAPIE DES VICTIMES"</f>
        <v>CDS CENTRE PSYCHOTHERAPIE DES VICTIMES</v>
      </c>
      <c r="F2431" t="str">
        <f>"2 AVENUE RICHERAND"</f>
        <v>2 AVENUE RICHERAND</v>
      </c>
      <c r="H2431" t="str">
        <f>"75010"</f>
        <v>75010</v>
      </c>
      <c r="I2431" t="str">
        <f>"PARIS"</f>
        <v>PARIS</v>
      </c>
      <c r="J2431" t="str">
        <f>"01 43 80 44 40 "</f>
        <v xml:space="preserve">01 43 80 44 40 </v>
      </c>
      <c r="K2431" t="str">
        <f>"01 42 27 57 98"</f>
        <v>01 42 27 57 98</v>
      </c>
      <c r="L2431" s="1">
        <v>35102</v>
      </c>
      <c r="M2431" t="str">
        <f t="shared" si="373"/>
        <v>124</v>
      </c>
      <c r="N2431" t="str">
        <f t="shared" si="374"/>
        <v>Centre de Santé</v>
      </c>
      <c r="O2431" t="str">
        <f>"60"</f>
        <v>60</v>
      </c>
      <c r="P2431" t="str">
        <f>"Association Loi 1901 non Reconnue d'Utilité Publique"</f>
        <v>Association Loi 1901 non Reconnue d'Utilité Publique</v>
      </c>
      <c r="Q2431" t="str">
        <f t="shared" si="375"/>
        <v>36</v>
      </c>
      <c r="R2431" t="str">
        <f t="shared" si="376"/>
        <v>Tarifs conventionnels assurance maladie</v>
      </c>
      <c r="U2431" t="str">
        <f>"750002446"</f>
        <v>750002446</v>
      </c>
    </row>
    <row r="2432" spans="1:21" x14ac:dyDescent="0.3">
      <c r="A2432" t="str">
        <f>"970202651"</f>
        <v>970202651</v>
      </c>
      <c r="B2432" t="str">
        <f>"314 047 093 00021"</f>
        <v>314 047 093 00021</v>
      </c>
      <c r="D2432" t="str">
        <f>"CTRE SANTE DENTAIRE DE LA M.F.M"</f>
        <v>CTRE SANTE DENTAIRE DE LA M.F.M</v>
      </c>
      <c r="F2432" t="str">
        <f>"29 RUE MOREAU DE JONNES"</f>
        <v>29 RUE MOREAU DE JONNES</v>
      </c>
      <c r="G2432" t="str">
        <f>"BP 665"</f>
        <v>BP 665</v>
      </c>
      <c r="H2432" t="str">
        <f>"97200"</f>
        <v>97200</v>
      </c>
      <c r="I2432" t="str">
        <f>"FORT DE FRANCE"</f>
        <v>FORT DE FRANCE</v>
      </c>
      <c r="J2432" t="str">
        <f>"05 96 73 10 80 "</f>
        <v xml:space="preserve">05 96 73 10 80 </v>
      </c>
      <c r="K2432" t="str">
        <f>"05 96 72 43 50"</f>
        <v>05 96 72 43 50</v>
      </c>
      <c r="L2432" s="1">
        <v>35094</v>
      </c>
      <c r="M2432" t="str">
        <f t="shared" si="373"/>
        <v>124</v>
      </c>
      <c r="N2432" t="str">
        <f t="shared" si="374"/>
        <v>Centre de Santé</v>
      </c>
      <c r="O2432" t="str">
        <f>"47"</f>
        <v>47</v>
      </c>
      <c r="P2432" t="str">
        <f>"Société Mutualiste"</f>
        <v>Société Mutualiste</v>
      </c>
      <c r="Q2432" t="str">
        <f t="shared" si="375"/>
        <v>36</v>
      </c>
      <c r="R2432" t="str">
        <f t="shared" si="376"/>
        <v>Tarifs conventionnels assurance maladie</v>
      </c>
      <c r="U2432" t="str">
        <f>"970202644"</f>
        <v>970202644</v>
      </c>
    </row>
    <row r="2433" spans="1:21" x14ac:dyDescent="0.3">
      <c r="A2433" t="str">
        <f>"790003867"</f>
        <v>790003867</v>
      </c>
      <c r="B2433" t="str">
        <f>"781 453 923 00125"</f>
        <v>781 453 923 00125</v>
      </c>
      <c r="D2433" t="str">
        <f>"CDS DENTAIRE DE PARTHENAY"</f>
        <v>CDS DENTAIRE DE PARTHENAY</v>
      </c>
      <c r="F2433" t="str">
        <f>"62 BOULEVARD EDGAR QUINET"</f>
        <v>62 BOULEVARD EDGAR QUINET</v>
      </c>
      <c r="H2433" t="str">
        <f>"79200"</f>
        <v>79200</v>
      </c>
      <c r="I2433" t="str">
        <f>"PARTHENAY"</f>
        <v>PARTHENAY</v>
      </c>
      <c r="J2433" t="str">
        <f>"05 49 94 02 34 "</f>
        <v xml:space="preserve">05 49 94 02 34 </v>
      </c>
      <c r="L2433" s="1">
        <v>35066</v>
      </c>
      <c r="M2433" t="str">
        <f t="shared" si="373"/>
        <v>124</v>
      </c>
      <c r="N2433" t="str">
        <f t="shared" si="374"/>
        <v>Centre de Santé</v>
      </c>
      <c r="O2433" t="str">
        <f>"47"</f>
        <v>47</v>
      </c>
      <c r="P2433" t="str">
        <f>"Société Mutualiste"</f>
        <v>Société Mutualiste</v>
      </c>
      <c r="Q2433" t="str">
        <f t="shared" si="375"/>
        <v>36</v>
      </c>
      <c r="R2433" t="str">
        <f t="shared" si="376"/>
        <v>Tarifs conventionnels assurance maladie</v>
      </c>
      <c r="U2433" t="str">
        <f>"790000632"</f>
        <v>790000632</v>
      </c>
    </row>
    <row r="2434" spans="1:21" x14ac:dyDescent="0.3">
      <c r="A2434" t="str">
        <f>"570003988"</f>
        <v>570003988</v>
      </c>
      <c r="B2434" t="str">
        <f>"775 685 316 03425"</f>
        <v>775 685 316 03425</v>
      </c>
      <c r="D2434" t="str">
        <f>"CSP FILIERIS  DE CARLING FRONTIERE"</f>
        <v>CSP FILIERIS  DE CARLING FRONTIERE</v>
      </c>
      <c r="E2434" t="str">
        <f>"A"</f>
        <v>A</v>
      </c>
      <c r="F2434" t="str">
        <f>"3 RUE DE LA FRONTIERE"</f>
        <v>3 RUE DE LA FRONTIERE</v>
      </c>
      <c r="H2434" t="str">
        <f>"57490"</f>
        <v>57490</v>
      </c>
      <c r="I2434" t="str">
        <f>"CARLING"</f>
        <v>CARLING</v>
      </c>
      <c r="J2434" t="str">
        <f>"03 87 93 79 93 "</f>
        <v xml:space="preserve">03 87 93 79 93 </v>
      </c>
      <c r="L2434" s="1">
        <v>35065</v>
      </c>
      <c r="M2434" t="str">
        <f t="shared" ref="M2434:M2497" si="377">"124"</f>
        <v>124</v>
      </c>
      <c r="N2434" t="str">
        <f t="shared" ref="N2434:N2497" si="378">"Centre de Santé"</f>
        <v>Centre de Santé</v>
      </c>
      <c r="O2434" t="str">
        <f>"41"</f>
        <v>41</v>
      </c>
      <c r="P2434" t="str">
        <f>"Régime Spécial de Sécurité Sociale"</f>
        <v>Régime Spécial de Sécurité Sociale</v>
      </c>
      <c r="Q2434" t="str">
        <f t="shared" si="375"/>
        <v>36</v>
      </c>
      <c r="R2434" t="str">
        <f t="shared" si="376"/>
        <v>Tarifs conventionnels assurance maladie</v>
      </c>
      <c r="U2434" t="str">
        <f>"750050759"</f>
        <v>750050759</v>
      </c>
    </row>
    <row r="2435" spans="1:21" x14ac:dyDescent="0.3">
      <c r="A2435" t="str">
        <f>"910002443"</f>
        <v>910002443</v>
      </c>
      <c r="B2435" t="str">
        <f>"751 068 545 00076"</f>
        <v>751 068 545 00076</v>
      </c>
      <c r="D2435" t="str">
        <f>"CDS DENTAIRE EVRY"</f>
        <v>CDS DENTAIRE EVRY</v>
      </c>
      <c r="F2435" t="str">
        <f>"1 RUE MICHEL ANGE"</f>
        <v>1 RUE MICHEL ANGE</v>
      </c>
      <c r="G2435" t="str">
        <f>"COURCOURONNES"</f>
        <v>COURCOURONNES</v>
      </c>
      <c r="H2435" t="str">
        <f>"91080"</f>
        <v>91080</v>
      </c>
      <c r="I2435" t="str">
        <f>"EVRY COURCOURONNES"</f>
        <v>EVRY COURCOURONNES</v>
      </c>
      <c r="J2435" t="str">
        <f>"01 60 78 31 72 "</f>
        <v xml:space="preserve">01 60 78 31 72 </v>
      </c>
      <c r="K2435" t="str">
        <f>"01 60 78 32 26"</f>
        <v>01 60 78 32 26</v>
      </c>
      <c r="L2435" s="1">
        <v>35016</v>
      </c>
      <c r="M2435" t="str">
        <f t="shared" si="377"/>
        <v>124</v>
      </c>
      <c r="N2435" t="str">
        <f t="shared" si="378"/>
        <v>Centre de Santé</v>
      </c>
      <c r="O2435" t="str">
        <f>"60"</f>
        <v>60</v>
      </c>
      <c r="P2435" t="str">
        <f>"Association Loi 1901 non Reconnue d'Utilité Publique"</f>
        <v>Association Loi 1901 non Reconnue d'Utilité Publique</v>
      </c>
      <c r="Q2435" t="str">
        <f t="shared" si="375"/>
        <v>36</v>
      </c>
      <c r="R2435" t="str">
        <f t="shared" si="376"/>
        <v>Tarifs conventionnels assurance maladie</v>
      </c>
      <c r="U2435" t="str">
        <f>"750050767"</f>
        <v>750050767</v>
      </c>
    </row>
    <row r="2436" spans="1:21" x14ac:dyDescent="0.3">
      <c r="A2436" t="str">
        <f>"410006183"</f>
        <v>410006183</v>
      </c>
      <c r="B2436" t="str">
        <f>"442 609 897 00040"</f>
        <v>442 609 897 00040</v>
      </c>
      <c r="D2436" t="str">
        <f>"CENTRE DE SANTE DENTAIRE MUTUALISTE"</f>
        <v>CENTRE DE SANTE DENTAIRE MUTUALISTE</v>
      </c>
      <c r="F2436" t="str">
        <f>"2 RUE DE LA RESISTANCE"</f>
        <v>2 RUE DE LA RESISTANCE</v>
      </c>
      <c r="H2436" t="str">
        <f>"41200"</f>
        <v>41200</v>
      </c>
      <c r="I2436" t="str">
        <f>"ROMORANTIN LANTHENAY"</f>
        <v>ROMORANTIN LANTHENAY</v>
      </c>
      <c r="J2436" t="str">
        <f>"02 54 76 90 77 "</f>
        <v xml:space="preserve">02 54 76 90 77 </v>
      </c>
      <c r="K2436" t="str">
        <f>"02 54 96 95 50"</f>
        <v>02 54 96 95 50</v>
      </c>
      <c r="L2436" s="1">
        <v>35005</v>
      </c>
      <c r="M2436" t="str">
        <f t="shared" si="377"/>
        <v>124</v>
      </c>
      <c r="N2436" t="str">
        <f t="shared" si="378"/>
        <v>Centre de Santé</v>
      </c>
      <c r="O2436" t="str">
        <f>"47"</f>
        <v>47</v>
      </c>
      <c r="P2436" t="str">
        <f>"Société Mutualiste"</f>
        <v>Société Mutualiste</v>
      </c>
      <c r="Q2436" t="str">
        <f t="shared" si="375"/>
        <v>36</v>
      </c>
      <c r="R2436" t="str">
        <f t="shared" si="376"/>
        <v>Tarifs conventionnels assurance maladie</v>
      </c>
      <c r="U2436" t="str">
        <f>"410004741"</f>
        <v>410004741</v>
      </c>
    </row>
    <row r="2437" spans="1:21" x14ac:dyDescent="0.3">
      <c r="A2437" t="str">
        <f>"360007462"</f>
        <v>360007462</v>
      </c>
      <c r="B2437" t="str">
        <f>"444 366 793 00024"</f>
        <v>444 366 793 00024</v>
      </c>
      <c r="D2437" t="str">
        <f>"CENTRE DE SOINS DENTAIRES"</f>
        <v>CENTRE DE SOINS DENTAIRES</v>
      </c>
      <c r="F2437" t="str">
        <f>"2 AVENUE LE NOTRE"</f>
        <v>2 AVENUE LE NOTRE</v>
      </c>
      <c r="H2437" t="str">
        <f>"36000"</f>
        <v>36000</v>
      </c>
      <c r="I2437" t="str">
        <f>"CHATEAUROUX"</f>
        <v>CHATEAUROUX</v>
      </c>
      <c r="J2437" t="str">
        <f>"02 54 22 87 07 "</f>
        <v xml:space="preserve">02 54 22 87 07 </v>
      </c>
      <c r="K2437" t="str">
        <f>"02 54 22 87 07"</f>
        <v>02 54 22 87 07</v>
      </c>
      <c r="L2437" s="1">
        <v>34974</v>
      </c>
      <c r="M2437" t="str">
        <f t="shared" si="377"/>
        <v>124</v>
      </c>
      <c r="N2437" t="str">
        <f t="shared" si="378"/>
        <v>Centre de Santé</v>
      </c>
      <c r="O2437" t="str">
        <f>"47"</f>
        <v>47</v>
      </c>
      <c r="P2437" t="str">
        <f>"Société Mutualiste"</f>
        <v>Société Mutualiste</v>
      </c>
      <c r="Q2437" t="str">
        <f t="shared" si="375"/>
        <v>36</v>
      </c>
      <c r="R2437" t="str">
        <f t="shared" si="376"/>
        <v>Tarifs conventionnels assurance maladie</v>
      </c>
      <c r="U2437" t="str">
        <f>"360007454"</f>
        <v>360007454</v>
      </c>
    </row>
    <row r="2438" spans="1:21" x14ac:dyDescent="0.3">
      <c r="A2438" t="str">
        <f>"250003829"</f>
        <v>250003829</v>
      </c>
      <c r="B2438" t="str">
        <f>"326 519 139 00058"</f>
        <v>326 519 139 00058</v>
      </c>
      <c r="D2438" t="str">
        <f>"CENTRE SOINS INFIRMIERS MOUTHE"</f>
        <v>CENTRE SOINS INFIRMIERS MOUTHE</v>
      </c>
      <c r="E2438" t="str">
        <f>"MAISON DE SANTE DU VAL DE MOUTHE"</f>
        <v>MAISON DE SANTE DU VAL DE MOUTHE</v>
      </c>
      <c r="F2438" t="str">
        <f>"1 RUE CART BROUMET"</f>
        <v>1 RUE CART BROUMET</v>
      </c>
      <c r="H2438" t="str">
        <f>"25240"</f>
        <v>25240</v>
      </c>
      <c r="I2438" t="str">
        <f>"MOUTHE"</f>
        <v>MOUTHE</v>
      </c>
      <c r="J2438" t="str">
        <f>"03 81 69 12 86 "</f>
        <v xml:space="preserve">03 81 69 12 86 </v>
      </c>
      <c r="K2438" t="str">
        <f>"03 81 69 12 86"</f>
        <v>03 81 69 12 86</v>
      </c>
      <c r="L2438" s="1">
        <v>34967</v>
      </c>
      <c r="M2438" t="str">
        <f t="shared" si="377"/>
        <v>124</v>
      </c>
      <c r="N2438" t="str">
        <f t="shared" si="378"/>
        <v>Centre de Santé</v>
      </c>
      <c r="O2438" t="str">
        <f>"60"</f>
        <v>60</v>
      </c>
      <c r="P2438" t="str">
        <f>"Association Loi 1901 non Reconnue d'Utilité Publique"</f>
        <v>Association Loi 1901 non Reconnue d'Utilité Publique</v>
      </c>
      <c r="Q2438" t="str">
        <f t="shared" si="375"/>
        <v>36</v>
      </c>
      <c r="R2438" t="str">
        <f t="shared" si="376"/>
        <v>Tarifs conventionnels assurance maladie</v>
      </c>
      <c r="U2438" t="str">
        <f>"250001773"</f>
        <v>250001773</v>
      </c>
    </row>
    <row r="2439" spans="1:21" x14ac:dyDescent="0.3">
      <c r="A2439" t="str">
        <f>"950001826"</f>
        <v>950001826</v>
      </c>
      <c r="B2439" t="str">
        <f>"751 068 545 00035"</f>
        <v>751 068 545 00035</v>
      </c>
      <c r="D2439" t="str">
        <f>"CDS POLYVALENT ROISSY"</f>
        <v>CDS POLYVALENT ROISSY</v>
      </c>
      <c r="E2439" t="str">
        <f>"IMMEUBLE LE DOME"</f>
        <v>IMMEUBLE LE DOME</v>
      </c>
      <c r="F2439" t="str">
        <f>"4 RUE DE LA HAYE"</f>
        <v>4 RUE DE LA HAYE</v>
      </c>
      <c r="H2439" t="str">
        <f>"95700"</f>
        <v>95700</v>
      </c>
      <c r="I2439" t="str">
        <f>"ROISSY EN FRANCE"</f>
        <v>ROISSY EN FRANCE</v>
      </c>
      <c r="J2439" t="str">
        <f>"01 48 62 34 86 "</f>
        <v xml:space="preserve">01 48 62 34 86 </v>
      </c>
      <c r="K2439" t="str">
        <f>"01 48 62 06 71"</f>
        <v>01 48 62 06 71</v>
      </c>
      <c r="L2439" s="1">
        <v>34893</v>
      </c>
      <c r="M2439" t="str">
        <f t="shared" si="377"/>
        <v>124</v>
      </c>
      <c r="N2439" t="str">
        <f t="shared" si="378"/>
        <v>Centre de Santé</v>
      </c>
      <c r="O2439" t="str">
        <f>"60"</f>
        <v>60</v>
      </c>
      <c r="P2439" t="str">
        <f>"Association Loi 1901 non Reconnue d'Utilité Publique"</f>
        <v>Association Loi 1901 non Reconnue d'Utilité Publique</v>
      </c>
      <c r="Q2439" t="str">
        <f t="shared" si="375"/>
        <v>36</v>
      </c>
      <c r="R2439" t="str">
        <f t="shared" si="376"/>
        <v>Tarifs conventionnels assurance maladie</v>
      </c>
      <c r="U2439" t="str">
        <f>"750050767"</f>
        <v>750050767</v>
      </c>
    </row>
    <row r="2440" spans="1:21" x14ac:dyDescent="0.3">
      <c r="A2440" t="str">
        <f>"700780588"</f>
        <v>700780588</v>
      </c>
      <c r="B2440" t="str">
        <f>"389 081 340 00033"</f>
        <v>389 081 340 00033</v>
      </c>
      <c r="D2440" t="str">
        <f>"CENTRE SOINS INFIRMIERS FOUGEROLLES"</f>
        <v>CENTRE SOINS INFIRMIERS FOUGEROLLES</v>
      </c>
      <c r="F2440" t="str">
        <f>"29 RUE DU BAS DE LAVAL"</f>
        <v>29 RUE DU BAS DE LAVAL</v>
      </c>
      <c r="H2440" t="str">
        <f>"70220"</f>
        <v>70220</v>
      </c>
      <c r="I2440" t="str">
        <f>"FOUGEROLLES ST VALBERT"</f>
        <v>FOUGEROLLES ST VALBERT</v>
      </c>
      <c r="J2440" t="str">
        <f>"03 84 49 54 51 "</f>
        <v xml:space="preserve">03 84 49 54 51 </v>
      </c>
      <c r="K2440" t="str">
        <f>"03 84 49 54 51"</f>
        <v>03 84 49 54 51</v>
      </c>
      <c r="L2440" s="1">
        <v>34873</v>
      </c>
      <c r="M2440" t="str">
        <f t="shared" si="377"/>
        <v>124</v>
      </c>
      <c r="N2440" t="str">
        <f t="shared" si="378"/>
        <v>Centre de Santé</v>
      </c>
      <c r="O2440" t="str">
        <f>"60"</f>
        <v>60</v>
      </c>
      <c r="P2440" t="str">
        <f>"Association Loi 1901 non Reconnue d'Utilité Publique"</f>
        <v>Association Loi 1901 non Reconnue d'Utilité Publique</v>
      </c>
      <c r="Q2440" t="str">
        <f t="shared" si="375"/>
        <v>36</v>
      </c>
      <c r="R2440" t="str">
        <f t="shared" si="376"/>
        <v>Tarifs conventionnels assurance maladie</v>
      </c>
      <c r="U2440" t="str">
        <f>"700785041"</f>
        <v>700785041</v>
      </c>
    </row>
    <row r="2441" spans="1:21" x14ac:dyDescent="0.3">
      <c r="A2441" t="str">
        <f>"130811706"</f>
        <v>130811706</v>
      </c>
      <c r="D2441" t="str">
        <f>"CDS DENTAIRE OXANCE MARIGNANE"</f>
        <v>CDS DENTAIRE OXANCE MARIGNANE</v>
      </c>
      <c r="F2441" t="str">
        <f>"2 AVENUE RENE DUBOS"</f>
        <v>2 AVENUE RENE DUBOS</v>
      </c>
      <c r="H2441" t="str">
        <f>"13700"</f>
        <v>13700</v>
      </c>
      <c r="I2441" t="str">
        <f>"MARIGNANE"</f>
        <v>MARIGNANE</v>
      </c>
      <c r="J2441" t="str">
        <f>"04 42 88 86 19 "</f>
        <v xml:space="preserve">04 42 88 86 19 </v>
      </c>
      <c r="K2441" t="str">
        <f>"04 42 88 82 96"</f>
        <v>04 42 88 82 96</v>
      </c>
      <c r="L2441" s="1">
        <v>34859</v>
      </c>
      <c r="M2441" t="str">
        <f t="shared" si="377"/>
        <v>124</v>
      </c>
      <c r="N2441" t="str">
        <f t="shared" si="378"/>
        <v>Centre de Santé</v>
      </c>
      <c r="O2441" t="str">
        <f>"47"</f>
        <v>47</v>
      </c>
      <c r="P2441" t="str">
        <f>"Société Mutualiste"</f>
        <v>Société Mutualiste</v>
      </c>
      <c r="Q2441" t="str">
        <f t="shared" si="375"/>
        <v>36</v>
      </c>
      <c r="R2441" t="str">
        <f t="shared" si="376"/>
        <v>Tarifs conventionnels assurance maladie</v>
      </c>
      <c r="U2441" t="str">
        <f>"690048111"</f>
        <v>690048111</v>
      </c>
    </row>
    <row r="2442" spans="1:21" x14ac:dyDescent="0.3">
      <c r="A2442" t="str">
        <f>"760009951"</f>
        <v>760009951</v>
      </c>
      <c r="B2442" t="str">
        <f>"794 994 277 01537"</f>
        <v>794 994 277 01537</v>
      </c>
      <c r="D2442" t="str">
        <f>"CLINIQUE DENTAIRE MUTUALISTE"</f>
        <v>CLINIQUE DENTAIRE MUTUALISTE</v>
      </c>
      <c r="F2442" t="str">
        <f>"12 RUE GIROT"</f>
        <v>12 RUE GIROT</v>
      </c>
      <c r="H2442" t="str">
        <f>"76290"</f>
        <v>76290</v>
      </c>
      <c r="I2442" t="str">
        <f>"MONTIVILLIERS"</f>
        <v>MONTIVILLIERS</v>
      </c>
      <c r="J2442" t="str">
        <f>"02 32 79 24 70 "</f>
        <v xml:space="preserve">02 32 79 24 70 </v>
      </c>
      <c r="L2442" s="1">
        <v>34849</v>
      </c>
      <c r="M2442" t="str">
        <f t="shared" si="377"/>
        <v>124</v>
      </c>
      <c r="N2442" t="str">
        <f t="shared" si="378"/>
        <v>Centre de Santé</v>
      </c>
      <c r="O2442" t="str">
        <f>"47"</f>
        <v>47</v>
      </c>
      <c r="P2442" t="str">
        <f>"Société Mutualiste"</f>
        <v>Société Mutualiste</v>
      </c>
      <c r="Q2442" t="str">
        <f t="shared" si="375"/>
        <v>36</v>
      </c>
      <c r="R2442" t="str">
        <f t="shared" si="376"/>
        <v>Tarifs conventionnels assurance maladie</v>
      </c>
      <c r="U2442" t="str">
        <f>"760000539"</f>
        <v>760000539</v>
      </c>
    </row>
    <row r="2443" spans="1:21" x14ac:dyDescent="0.3">
      <c r="A2443" t="str">
        <f>"760921783"</f>
        <v>760921783</v>
      </c>
      <c r="B2443" t="str">
        <f>"794 994 277 01768"</f>
        <v>794 994 277 01768</v>
      </c>
      <c r="D2443" t="str">
        <f>"CLINIQUE DENTAIRE MUTUALISTE FECAMP"</f>
        <v>CLINIQUE DENTAIRE MUTUALISTE FECAMP</v>
      </c>
      <c r="F2443" t="str">
        <f>"41 RUE ALEXANDRE LEGROS"</f>
        <v>41 RUE ALEXANDRE LEGROS</v>
      </c>
      <c r="H2443" t="str">
        <f>"76400"</f>
        <v>76400</v>
      </c>
      <c r="I2443" t="str">
        <f>"FECAMP"</f>
        <v>FECAMP</v>
      </c>
      <c r="J2443" t="str">
        <f>"02 35 10 43 90 "</f>
        <v xml:space="preserve">02 35 10 43 90 </v>
      </c>
      <c r="L2443" s="1">
        <v>34820</v>
      </c>
      <c r="M2443" t="str">
        <f t="shared" si="377"/>
        <v>124</v>
      </c>
      <c r="N2443" t="str">
        <f t="shared" si="378"/>
        <v>Centre de Santé</v>
      </c>
      <c r="O2443" t="str">
        <f>"47"</f>
        <v>47</v>
      </c>
      <c r="P2443" t="str">
        <f>"Société Mutualiste"</f>
        <v>Société Mutualiste</v>
      </c>
      <c r="Q2443" t="str">
        <f t="shared" si="375"/>
        <v>36</v>
      </c>
      <c r="R2443" t="str">
        <f t="shared" si="376"/>
        <v>Tarifs conventionnels assurance maladie</v>
      </c>
      <c r="U2443" t="str">
        <f>"760000539"</f>
        <v>760000539</v>
      </c>
    </row>
    <row r="2444" spans="1:21" x14ac:dyDescent="0.3">
      <c r="A2444" t="str">
        <f>"620120030"</f>
        <v>620120030</v>
      </c>
      <c r="D2444" t="str">
        <f>"CENTRE DE SANTE DENTAIRE"</f>
        <v>CENTRE DE SANTE DENTAIRE</v>
      </c>
      <c r="F2444" t="str">
        <f>"27 PLACE LOUIS LE SENECHAL"</f>
        <v>27 PLACE LOUIS LE SENECHAL</v>
      </c>
      <c r="H2444" t="str">
        <f>"62250"</f>
        <v>62250</v>
      </c>
      <c r="I2444" t="str">
        <f>"MARQUISE"</f>
        <v>MARQUISE</v>
      </c>
      <c r="J2444" t="str">
        <f>"03 21 10 44 09 "</f>
        <v xml:space="preserve">03 21 10 44 09 </v>
      </c>
      <c r="K2444" t="str">
        <f>"03 21 92 28 95"</f>
        <v>03 21 92 28 95</v>
      </c>
      <c r="L2444" s="1">
        <v>34795</v>
      </c>
      <c r="M2444" t="str">
        <f t="shared" si="377"/>
        <v>124</v>
      </c>
      <c r="N2444" t="str">
        <f t="shared" si="378"/>
        <v>Centre de Santé</v>
      </c>
      <c r="O2444" t="str">
        <f>"47"</f>
        <v>47</v>
      </c>
      <c r="P2444" t="str">
        <f>"Société Mutualiste"</f>
        <v>Société Mutualiste</v>
      </c>
      <c r="Q2444" t="str">
        <f t="shared" si="375"/>
        <v>36</v>
      </c>
      <c r="R2444" t="str">
        <f t="shared" si="376"/>
        <v>Tarifs conventionnels assurance maladie</v>
      </c>
      <c r="U2444" t="str">
        <f>"590024469"</f>
        <v>590024469</v>
      </c>
    </row>
    <row r="2445" spans="1:21" x14ac:dyDescent="0.3">
      <c r="A2445" t="str">
        <f>"760921791"</f>
        <v>760921791</v>
      </c>
      <c r="B2445" t="str">
        <f>"794 994 277 01719"</f>
        <v>794 994 277 01719</v>
      </c>
      <c r="D2445" t="str">
        <f>"CLINIQUE DENTAIRE MUTUALISTE"</f>
        <v>CLINIQUE DENTAIRE MUTUALISTE</v>
      </c>
      <c r="F2445" t="str">
        <f>"21 RUE GEORGES CLEMENCEAU"</f>
        <v>21 RUE GEORGES CLEMENCEAU</v>
      </c>
      <c r="H2445" t="str">
        <f>"76530"</f>
        <v>76530</v>
      </c>
      <c r="I2445" t="str">
        <f>"GRAND COURONNE"</f>
        <v>GRAND COURONNE</v>
      </c>
      <c r="J2445" t="str">
        <f>"02 32 11 43 20 "</f>
        <v xml:space="preserve">02 32 11 43 20 </v>
      </c>
      <c r="L2445" s="1">
        <v>34759</v>
      </c>
      <c r="M2445" t="str">
        <f t="shared" si="377"/>
        <v>124</v>
      </c>
      <c r="N2445" t="str">
        <f t="shared" si="378"/>
        <v>Centre de Santé</v>
      </c>
      <c r="O2445" t="str">
        <f>"47"</f>
        <v>47</v>
      </c>
      <c r="P2445" t="str">
        <f>"Société Mutualiste"</f>
        <v>Société Mutualiste</v>
      </c>
      <c r="Q2445" t="str">
        <f t="shared" si="375"/>
        <v>36</v>
      </c>
      <c r="R2445" t="str">
        <f t="shared" si="376"/>
        <v>Tarifs conventionnels assurance maladie</v>
      </c>
      <c r="U2445" t="str">
        <f>"760000539"</f>
        <v>760000539</v>
      </c>
    </row>
    <row r="2446" spans="1:21" x14ac:dyDescent="0.3">
      <c r="A2446" t="str">
        <f>"380788992"</f>
        <v>380788992</v>
      </c>
      <c r="B2446" t="str">
        <f>"304 839 830 00029"</f>
        <v>304 839 830 00029</v>
      </c>
      <c r="D2446" t="str">
        <f>"CENTRE DE SANTE DES CITES ROUSSILLON"</f>
        <v>CENTRE DE SANTE DES CITES ROUSSILLON</v>
      </c>
      <c r="E2446" t="str">
        <f>"IMMEUBLE LE REGAIN"</f>
        <v>IMMEUBLE LE REGAIN</v>
      </c>
      <c r="F2446" t="str">
        <f>"4 RUE GASTON MONMOUSSEAU"</f>
        <v>4 RUE GASTON MONMOUSSEAU</v>
      </c>
      <c r="H2446" t="str">
        <f>"38150"</f>
        <v>38150</v>
      </c>
      <c r="I2446" t="str">
        <f>"ROUSSILLON"</f>
        <v>ROUSSILLON</v>
      </c>
      <c r="J2446" t="str">
        <f>"04 74 86 25 03 "</f>
        <v xml:space="preserve">04 74 86 25 03 </v>
      </c>
      <c r="K2446" t="str">
        <f>"04 74 86 56 04"</f>
        <v>04 74 86 56 04</v>
      </c>
      <c r="L2446" s="1">
        <v>34731</v>
      </c>
      <c r="M2446" t="str">
        <f t="shared" si="377"/>
        <v>124</v>
      </c>
      <c r="N2446" t="str">
        <f t="shared" si="378"/>
        <v>Centre de Santé</v>
      </c>
      <c r="O2446" t="str">
        <f>"60"</f>
        <v>60</v>
      </c>
      <c r="P2446" t="str">
        <f>"Association Loi 1901 non Reconnue d'Utilité Publique"</f>
        <v>Association Loi 1901 non Reconnue d'Utilité Publique</v>
      </c>
      <c r="Q2446" t="str">
        <f t="shared" si="375"/>
        <v>36</v>
      </c>
      <c r="R2446" t="str">
        <f t="shared" si="376"/>
        <v>Tarifs conventionnels assurance maladie</v>
      </c>
      <c r="U2446" t="str">
        <f>"380793695"</f>
        <v>380793695</v>
      </c>
    </row>
    <row r="2447" spans="1:21" x14ac:dyDescent="0.3">
      <c r="A2447" t="str">
        <f>"750834012"</f>
        <v>750834012</v>
      </c>
      <c r="B2447" t="str">
        <f>"400 135 513 00010"</f>
        <v>400 135 513 00010</v>
      </c>
      <c r="D2447" t="str">
        <f>"CDS SABOURAUD"</f>
        <v>CDS SABOURAUD</v>
      </c>
      <c r="E2447" t="str">
        <f>"PAVILLON BIET"</f>
        <v>PAVILLON BIET</v>
      </c>
      <c r="F2447" t="str">
        <f>"2 PLACE DR ALFRED FOURNIER"</f>
        <v>2 PLACE DR ALFRED FOURNIER</v>
      </c>
      <c r="H2447" t="str">
        <f>"75010"</f>
        <v>75010</v>
      </c>
      <c r="I2447" t="str">
        <f>"PARIS"</f>
        <v>PARIS</v>
      </c>
      <c r="J2447" t="str">
        <f>"01 42 49 39 37 "</f>
        <v xml:space="preserve">01 42 49 39 37 </v>
      </c>
      <c r="K2447" t="str">
        <f>"01 42 06 94 95"</f>
        <v>01 42 06 94 95</v>
      </c>
      <c r="L2447" s="1">
        <v>34731</v>
      </c>
      <c r="M2447" t="str">
        <f t="shared" si="377"/>
        <v>124</v>
      </c>
      <c r="N2447" t="str">
        <f t="shared" si="378"/>
        <v>Centre de Santé</v>
      </c>
      <c r="O2447" t="str">
        <f>"60"</f>
        <v>60</v>
      </c>
      <c r="P2447" t="str">
        <f>"Association Loi 1901 non Reconnue d'Utilité Publique"</f>
        <v>Association Loi 1901 non Reconnue d'Utilité Publique</v>
      </c>
      <c r="Q2447" t="str">
        <f t="shared" si="375"/>
        <v>36</v>
      </c>
      <c r="R2447" t="str">
        <f t="shared" si="376"/>
        <v>Tarifs conventionnels assurance maladie</v>
      </c>
      <c r="U2447" t="str">
        <f>"750834004"</f>
        <v>750834004</v>
      </c>
    </row>
    <row r="2448" spans="1:21" x14ac:dyDescent="0.3">
      <c r="A2448" t="str">
        <f>"060801321"</f>
        <v>060801321</v>
      </c>
      <c r="B2448" t="str">
        <f>"352 098 131 00373"</f>
        <v>352 098 131 00373</v>
      </c>
      <c r="D2448" t="str">
        <f>"CDS DENTAIRE"</f>
        <v>CDS DENTAIRE</v>
      </c>
      <c r="E2448" t="str">
        <f>"LE JALNA B1"</f>
        <v>LE JALNA B1</v>
      </c>
      <c r="F2448" t="str">
        <f>"11 RUE COLONEL DRIANT"</f>
        <v>11 RUE COLONEL DRIANT</v>
      </c>
      <c r="H2448" t="str">
        <f>"06100"</f>
        <v>06100</v>
      </c>
      <c r="I2448" t="str">
        <f>"NICE"</f>
        <v>NICE</v>
      </c>
      <c r="J2448" t="str">
        <f>"04 93 52 52 91 "</f>
        <v xml:space="preserve">04 93 52 52 91 </v>
      </c>
      <c r="K2448" t="str">
        <f>"04 92 09 03 70"</f>
        <v>04 92 09 03 70</v>
      </c>
      <c r="L2448" s="1">
        <v>34718</v>
      </c>
      <c r="M2448" t="str">
        <f t="shared" si="377"/>
        <v>124</v>
      </c>
      <c r="N2448" t="str">
        <f t="shared" si="378"/>
        <v>Centre de Santé</v>
      </c>
      <c r="O2448" t="str">
        <f>"47"</f>
        <v>47</v>
      </c>
      <c r="P2448" t="str">
        <f>"Société Mutualiste"</f>
        <v>Société Mutualiste</v>
      </c>
      <c r="Q2448" t="str">
        <f t="shared" si="375"/>
        <v>36</v>
      </c>
      <c r="R2448" t="str">
        <f t="shared" si="376"/>
        <v>Tarifs conventionnels assurance maladie</v>
      </c>
      <c r="U2448" t="str">
        <f>"130007032"</f>
        <v>130007032</v>
      </c>
    </row>
    <row r="2449" spans="1:21" x14ac:dyDescent="0.3">
      <c r="A2449" t="str">
        <f>"120788070"</f>
        <v>120788070</v>
      </c>
      <c r="B2449" t="str">
        <f>"399 877 463 00014"</f>
        <v>399 877 463 00014</v>
      </c>
      <c r="D2449" t="str">
        <f>"CENTRE DE SOINS INFIRMIERS"</f>
        <v>CENTRE DE SOINS INFIRMIERS</v>
      </c>
      <c r="F2449" t="str">
        <f>"RUE DU CHATEAU"</f>
        <v>RUE DU CHATEAU</v>
      </c>
      <c r="H2449" t="str">
        <f>"12470"</f>
        <v>12470</v>
      </c>
      <c r="I2449" t="str">
        <f>"ST CHELY D AUBRAC"</f>
        <v>ST CHELY D AUBRAC</v>
      </c>
      <c r="J2449" t="str">
        <f>"05 65 48 55 34 "</f>
        <v xml:space="preserve">05 65 48 55 34 </v>
      </c>
      <c r="L2449" s="1">
        <v>34700</v>
      </c>
      <c r="M2449" t="str">
        <f t="shared" si="377"/>
        <v>124</v>
      </c>
      <c r="N2449" t="str">
        <f t="shared" si="378"/>
        <v>Centre de Santé</v>
      </c>
      <c r="O2449" t="str">
        <f>"60"</f>
        <v>60</v>
      </c>
      <c r="P2449" t="str">
        <f>"Association Loi 1901 non Reconnue d'Utilité Publique"</f>
        <v>Association Loi 1901 non Reconnue d'Utilité Publique</v>
      </c>
      <c r="Q2449" t="str">
        <f t="shared" si="375"/>
        <v>36</v>
      </c>
      <c r="R2449" t="str">
        <f t="shared" si="376"/>
        <v>Tarifs conventionnels assurance maladie</v>
      </c>
      <c r="U2449" t="str">
        <f>"120788062"</f>
        <v>120788062</v>
      </c>
    </row>
    <row r="2450" spans="1:21" x14ac:dyDescent="0.3">
      <c r="A2450" t="str">
        <f>"260017017"</f>
        <v>260017017</v>
      </c>
      <c r="B2450" t="str">
        <f>"212 603 625 00014"</f>
        <v>212 603 625 00014</v>
      </c>
      <c r="D2450" t="str">
        <f>"CENTRE DE SANTE COMMUNE DE VALENCE"</f>
        <v>CENTRE DE SANTE COMMUNE DE VALENCE</v>
      </c>
      <c r="F2450" t="str">
        <f>"13 PLACE LATOUR MAUBOURG"</f>
        <v>13 PLACE LATOUR MAUBOURG</v>
      </c>
      <c r="H2450" t="str">
        <f>"26000"</f>
        <v>26000</v>
      </c>
      <c r="I2450" t="str">
        <f>"VALENCE"</f>
        <v>VALENCE</v>
      </c>
      <c r="J2450" t="str">
        <f>"04 75 56 62 11 "</f>
        <v xml:space="preserve">04 75 56 62 11 </v>
      </c>
      <c r="K2450" t="str">
        <f>"04 75 56 32 40"</f>
        <v>04 75 56 32 40</v>
      </c>
      <c r="L2450" s="1">
        <v>34700</v>
      </c>
      <c r="M2450" t="str">
        <f t="shared" si="377"/>
        <v>124</v>
      </c>
      <c r="N2450" t="str">
        <f t="shared" si="378"/>
        <v>Centre de Santé</v>
      </c>
      <c r="O2450" t="str">
        <f>"03"</f>
        <v>03</v>
      </c>
      <c r="P2450" t="str">
        <f>"Commune"</f>
        <v>Commune</v>
      </c>
      <c r="Q2450" t="str">
        <f t="shared" si="375"/>
        <v>36</v>
      </c>
      <c r="R2450" t="str">
        <f t="shared" si="376"/>
        <v>Tarifs conventionnels assurance maladie</v>
      </c>
      <c r="U2450" t="str">
        <f>"260008511"</f>
        <v>260008511</v>
      </c>
    </row>
    <row r="2451" spans="1:21" x14ac:dyDescent="0.3">
      <c r="A2451" t="str">
        <f>"310782271"</f>
        <v>310782271</v>
      </c>
      <c r="B2451" t="str">
        <f>"776 950 529 00060"</f>
        <v>776 950 529 00060</v>
      </c>
      <c r="D2451" t="str">
        <f>"CENTRE DE SANTE MEDICAL"</f>
        <v>CENTRE DE SANTE MEDICAL</v>
      </c>
      <c r="E2451" t="str">
        <f>"BAT A"</f>
        <v>BAT A</v>
      </c>
      <c r="F2451" t="str">
        <f>"3 RUE DU DOYEN LEFEBVRE"</f>
        <v>3 RUE DU DOYEN LEFEBVRE</v>
      </c>
      <c r="H2451" t="str">
        <f>"31100"</f>
        <v>31100</v>
      </c>
      <c r="I2451" t="str">
        <f>"TOULOUSE"</f>
        <v>TOULOUSE</v>
      </c>
      <c r="J2451" t="str">
        <f>"05 61 76 62 17 "</f>
        <v xml:space="preserve">05 61 76 62 17 </v>
      </c>
      <c r="L2451" s="1">
        <v>34700</v>
      </c>
      <c r="M2451" t="str">
        <f t="shared" si="377"/>
        <v>124</v>
      </c>
      <c r="N2451" t="str">
        <f t="shared" si="378"/>
        <v>Centre de Santé</v>
      </c>
      <c r="O2451" t="str">
        <f>"47"</f>
        <v>47</v>
      </c>
      <c r="P2451" t="str">
        <f>"Société Mutualiste"</f>
        <v>Société Mutualiste</v>
      </c>
      <c r="Q2451" t="str">
        <f t="shared" si="375"/>
        <v>36</v>
      </c>
      <c r="R2451" t="str">
        <f t="shared" si="376"/>
        <v>Tarifs conventionnels assurance maladie</v>
      </c>
      <c r="U2451" t="str">
        <f>"310788682"</f>
        <v>310788682</v>
      </c>
    </row>
    <row r="2452" spans="1:21" x14ac:dyDescent="0.3">
      <c r="A2452" t="str">
        <f>"480783778"</f>
        <v>480783778</v>
      </c>
      <c r="B2452" t="str">
        <f>"813 179 793 00837"</f>
        <v>813 179 793 00837</v>
      </c>
      <c r="D2452" t="str">
        <f>"CDS DENTAIRE MUTUALITE FRANCAISE MENDE"</f>
        <v>CDS DENTAIRE MUTUALITE FRANCAISE MENDE</v>
      </c>
      <c r="F2452" t="str">
        <f>"1 BOULEVARD THEOPHILE ROUSSEL"</f>
        <v>1 BOULEVARD THEOPHILE ROUSSEL</v>
      </c>
      <c r="G2452" t="str">
        <f>"BP 69"</f>
        <v>BP 69</v>
      </c>
      <c r="H2452" t="str">
        <f>"48000"</f>
        <v>48000</v>
      </c>
      <c r="I2452" t="str">
        <f>"MENDE"</f>
        <v>MENDE</v>
      </c>
      <c r="J2452" t="str">
        <f>"04 66 49 59 25 "</f>
        <v xml:space="preserve">04 66 49 59 25 </v>
      </c>
      <c r="L2452" s="1">
        <v>34700</v>
      </c>
      <c r="M2452" t="str">
        <f t="shared" si="377"/>
        <v>124</v>
      </c>
      <c r="N2452" t="str">
        <f t="shared" si="378"/>
        <v>Centre de Santé</v>
      </c>
      <c r="O2452" t="str">
        <f>"47"</f>
        <v>47</v>
      </c>
      <c r="P2452" t="str">
        <f>"Société Mutualiste"</f>
        <v>Société Mutualiste</v>
      </c>
      <c r="Q2452" t="str">
        <f t="shared" si="375"/>
        <v>36</v>
      </c>
      <c r="R2452" t="str">
        <f t="shared" si="376"/>
        <v>Tarifs conventionnels assurance maladie</v>
      </c>
      <c r="U2452" t="str">
        <f>"340023209"</f>
        <v>340023209</v>
      </c>
    </row>
    <row r="2453" spans="1:21" x14ac:dyDescent="0.3">
      <c r="A2453" t="str">
        <f>"680014719"</f>
        <v>680014719</v>
      </c>
      <c r="B2453" t="str">
        <f>"317 164 689 00257"</f>
        <v>317 164 689 00257</v>
      </c>
      <c r="D2453" t="str">
        <f>"CENTRE DE SOINS FONDERIE"</f>
        <v>CENTRE DE SOINS FONDERIE</v>
      </c>
      <c r="F2453" t="str">
        <f>"25 PORTE DU MIROIR"</f>
        <v>25 PORTE DU MIROIR</v>
      </c>
      <c r="H2453" t="str">
        <f>"68100"</f>
        <v>68100</v>
      </c>
      <c r="I2453" t="str">
        <f>"MULHOUSE"</f>
        <v>MULHOUSE</v>
      </c>
      <c r="J2453" t="str">
        <f>"03 89 46 42 93 "</f>
        <v xml:space="preserve">03 89 46 42 93 </v>
      </c>
      <c r="L2453" s="1">
        <v>34700</v>
      </c>
      <c r="M2453" t="str">
        <f t="shared" si="377"/>
        <v>124</v>
      </c>
      <c r="N2453" t="str">
        <f t="shared" si="378"/>
        <v>Centre de Santé</v>
      </c>
      <c r="O2453" t="str">
        <f>"62"</f>
        <v>62</v>
      </c>
      <c r="P2453" t="str">
        <f>"Association de Droit Local"</f>
        <v>Association de Droit Local</v>
      </c>
      <c r="Q2453" t="str">
        <f t="shared" si="375"/>
        <v>36</v>
      </c>
      <c r="R2453" t="str">
        <f t="shared" si="376"/>
        <v>Tarifs conventionnels assurance maladie</v>
      </c>
      <c r="U2453" t="str">
        <f>"680013919"</f>
        <v>680013919</v>
      </c>
    </row>
    <row r="2454" spans="1:21" x14ac:dyDescent="0.3">
      <c r="A2454" t="str">
        <f>"060801388"</f>
        <v>060801388</v>
      </c>
      <c r="D2454" t="str">
        <f>"CDS POLYVALENT OXANCE SOLA NICE"</f>
        <v>CDS POLYVALENT OXANCE SOLA NICE</v>
      </c>
      <c r="F2454" t="str">
        <f>"7 BOULEVARD PIERRE SOLA"</f>
        <v>7 BOULEVARD PIERRE SOLA</v>
      </c>
      <c r="H2454" t="str">
        <f>"06300"</f>
        <v>06300</v>
      </c>
      <c r="I2454" t="str">
        <f>"NICE"</f>
        <v>NICE</v>
      </c>
      <c r="L2454" s="1">
        <v>34667</v>
      </c>
      <c r="M2454" t="str">
        <f t="shared" si="377"/>
        <v>124</v>
      </c>
      <c r="N2454" t="str">
        <f t="shared" si="378"/>
        <v>Centre de Santé</v>
      </c>
      <c r="O2454" t="str">
        <f>"47"</f>
        <v>47</v>
      </c>
      <c r="P2454" t="str">
        <f>"Société Mutualiste"</f>
        <v>Société Mutualiste</v>
      </c>
      <c r="Q2454" t="str">
        <f t="shared" si="375"/>
        <v>36</v>
      </c>
      <c r="R2454" t="str">
        <f t="shared" si="376"/>
        <v>Tarifs conventionnels assurance maladie</v>
      </c>
      <c r="U2454" t="str">
        <f>"690048111"</f>
        <v>690048111</v>
      </c>
    </row>
    <row r="2455" spans="1:21" x14ac:dyDescent="0.3">
      <c r="A2455" t="str">
        <f>"640797577"</f>
        <v>640797577</v>
      </c>
      <c r="B2455" t="str">
        <f>"300 685 054 00029"</f>
        <v>300 685 054 00029</v>
      </c>
      <c r="D2455" t="str">
        <f>"CENTRE DE SANTE SALIES DE BEARN"</f>
        <v>CENTRE DE SANTE SALIES DE BEARN</v>
      </c>
      <c r="F2455" t="str">
        <f>"3 BOULEVARD SAINT GUILY"</f>
        <v>3 BOULEVARD SAINT GUILY</v>
      </c>
      <c r="H2455" t="str">
        <f>"64270"</f>
        <v>64270</v>
      </c>
      <c r="I2455" t="str">
        <f>"SALIES DE BEARN"</f>
        <v>SALIES DE BEARN</v>
      </c>
      <c r="J2455" t="str">
        <f>"05 59 38 75 00 "</f>
        <v xml:space="preserve">05 59 38 75 00 </v>
      </c>
      <c r="L2455" s="1">
        <v>34610</v>
      </c>
      <c r="M2455" t="str">
        <f t="shared" si="377"/>
        <v>124</v>
      </c>
      <c r="N2455" t="str">
        <f t="shared" si="378"/>
        <v>Centre de Santé</v>
      </c>
      <c r="O2455" t="str">
        <f>"60"</f>
        <v>60</v>
      </c>
      <c r="P2455" t="str">
        <f>"Association Loi 1901 non Reconnue d'Utilité Publique"</f>
        <v>Association Loi 1901 non Reconnue d'Utilité Publique</v>
      </c>
      <c r="Q2455" t="str">
        <f t="shared" si="375"/>
        <v>36</v>
      </c>
      <c r="R2455" t="str">
        <f t="shared" si="376"/>
        <v>Tarifs conventionnels assurance maladie</v>
      </c>
      <c r="U2455" t="str">
        <f>"640001681"</f>
        <v>640001681</v>
      </c>
    </row>
    <row r="2456" spans="1:21" x14ac:dyDescent="0.3">
      <c r="A2456" t="str">
        <f>"100007343"</f>
        <v>100007343</v>
      </c>
      <c r="B2456" t="str">
        <f>"780 349 833 00506"</f>
        <v>780 349 833 00506</v>
      </c>
      <c r="D2456" t="str">
        <f>"CENTRE DE SANTE TROYES CENTRE"</f>
        <v>CENTRE DE SANTE TROYES CENTRE</v>
      </c>
      <c r="F2456" t="str">
        <f>"18 RUE EMILE ZOLA"</f>
        <v>18 RUE EMILE ZOLA</v>
      </c>
      <c r="H2456" t="str">
        <f>"10000"</f>
        <v>10000</v>
      </c>
      <c r="I2456" t="str">
        <f>"TROYES"</f>
        <v>TROYES</v>
      </c>
      <c r="J2456" t="str">
        <f>"03 25 43 44 00 "</f>
        <v xml:space="preserve">03 25 43 44 00 </v>
      </c>
      <c r="L2456" s="1">
        <v>34582</v>
      </c>
      <c r="M2456" t="str">
        <f t="shared" si="377"/>
        <v>124</v>
      </c>
      <c r="N2456" t="str">
        <f t="shared" si="378"/>
        <v>Centre de Santé</v>
      </c>
      <c r="O2456" t="str">
        <f>"47"</f>
        <v>47</v>
      </c>
      <c r="P2456" t="str">
        <f>"Société Mutualiste"</f>
        <v>Société Mutualiste</v>
      </c>
      <c r="Q2456" t="str">
        <f t="shared" si="375"/>
        <v>36</v>
      </c>
      <c r="R2456" t="str">
        <f t="shared" si="376"/>
        <v>Tarifs conventionnels assurance maladie</v>
      </c>
      <c r="U2456" t="str">
        <f>"510024581"</f>
        <v>510024581</v>
      </c>
    </row>
    <row r="2457" spans="1:21" x14ac:dyDescent="0.3">
      <c r="A2457" t="str">
        <f>"060801313"</f>
        <v>060801313</v>
      </c>
      <c r="D2457" t="str">
        <f>"CDS DENTAIRE LE MAGALI"</f>
        <v>CDS DENTAIRE LE MAGALI</v>
      </c>
      <c r="E2457" t="str">
        <f>"LE MAGALI"</f>
        <v>LE MAGALI</v>
      </c>
      <c r="F2457" t="str">
        <f>"9 RUE MAGENTA"</f>
        <v>9 RUE MAGENTA</v>
      </c>
      <c r="H2457" t="str">
        <f>"06500"</f>
        <v>06500</v>
      </c>
      <c r="I2457" t="str">
        <f>"MENTON"</f>
        <v>MENTON</v>
      </c>
      <c r="J2457" t="str">
        <f>"04 93 28 39 40 "</f>
        <v xml:space="preserve">04 93 28 39 40 </v>
      </c>
      <c r="K2457" t="str">
        <f>"04 93 28 46 45"</f>
        <v>04 93 28 46 45</v>
      </c>
      <c r="L2457" s="1">
        <v>34571</v>
      </c>
      <c r="M2457" t="str">
        <f t="shared" si="377"/>
        <v>124</v>
      </c>
      <c r="N2457" t="str">
        <f t="shared" si="378"/>
        <v>Centre de Santé</v>
      </c>
      <c r="O2457" t="str">
        <f>"47"</f>
        <v>47</v>
      </c>
      <c r="P2457" t="str">
        <f>"Société Mutualiste"</f>
        <v>Société Mutualiste</v>
      </c>
      <c r="Q2457" t="str">
        <f t="shared" si="375"/>
        <v>36</v>
      </c>
      <c r="R2457" t="str">
        <f t="shared" si="376"/>
        <v>Tarifs conventionnels assurance maladie</v>
      </c>
      <c r="U2457" t="str">
        <f>"130007032"</f>
        <v>130007032</v>
      </c>
    </row>
    <row r="2458" spans="1:21" x14ac:dyDescent="0.3">
      <c r="A2458" t="str">
        <f>"130810179"</f>
        <v>130810179</v>
      </c>
      <c r="D2458" t="str">
        <f>"CSP OXANCE LOUIS BONNEFON"</f>
        <v>CSP OXANCE LOUIS BONNEFON</v>
      </c>
      <c r="F2458" t="str">
        <f>"38 RUE JEAN TRINQUET"</f>
        <v>38 RUE JEAN TRINQUET</v>
      </c>
      <c r="H2458" t="str">
        <f>"13002"</f>
        <v>13002</v>
      </c>
      <c r="I2458" t="str">
        <f>"MARSEILLE"</f>
        <v>MARSEILLE</v>
      </c>
      <c r="J2458" t="str">
        <f>"04 91 13 19 19 "</f>
        <v xml:space="preserve">04 91 13 19 19 </v>
      </c>
      <c r="K2458" t="str">
        <f>"04 91 13 19 00"</f>
        <v>04 91 13 19 00</v>
      </c>
      <c r="L2458" s="1">
        <v>34513</v>
      </c>
      <c r="M2458" t="str">
        <f t="shared" si="377"/>
        <v>124</v>
      </c>
      <c r="N2458" t="str">
        <f t="shared" si="378"/>
        <v>Centre de Santé</v>
      </c>
      <c r="O2458" t="str">
        <f>"47"</f>
        <v>47</v>
      </c>
      <c r="P2458" t="str">
        <f>"Société Mutualiste"</f>
        <v>Société Mutualiste</v>
      </c>
      <c r="Q2458" t="str">
        <f t="shared" si="375"/>
        <v>36</v>
      </c>
      <c r="R2458" t="str">
        <f t="shared" si="376"/>
        <v>Tarifs conventionnels assurance maladie</v>
      </c>
      <c r="U2458" t="str">
        <f>"690048111"</f>
        <v>690048111</v>
      </c>
    </row>
    <row r="2459" spans="1:21" x14ac:dyDescent="0.3">
      <c r="A2459" t="str">
        <f>"130008675"</f>
        <v>130008675</v>
      </c>
      <c r="B2459" t="str">
        <f>"775 685 316 02906"</f>
        <v>775 685 316 02906</v>
      </c>
      <c r="D2459" t="str">
        <f>"CDS POLYVALENT FILIERIS DE GARDANNE"</f>
        <v>CDS POLYVALENT FILIERIS DE GARDANNE</v>
      </c>
      <c r="F2459" t="str">
        <f>"384 AVENUE DE TOULON"</f>
        <v>384 AVENUE DE TOULON</v>
      </c>
      <c r="G2459" t="str">
        <f>"BP 57"</f>
        <v>BP 57</v>
      </c>
      <c r="H2459" t="str">
        <f>"13541"</f>
        <v>13541</v>
      </c>
      <c r="I2459" t="str">
        <f>"GARDANNE CEDEX"</f>
        <v>GARDANNE CEDEX</v>
      </c>
      <c r="J2459" t="str">
        <f>"04 42 65 46 09 "</f>
        <v xml:space="preserve">04 42 65 46 09 </v>
      </c>
      <c r="L2459" s="1">
        <v>34499</v>
      </c>
      <c r="M2459" t="str">
        <f t="shared" si="377"/>
        <v>124</v>
      </c>
      <c r="N2459" t="str">
        <f t="shared" si="378"/>
        <v>Centre de Santé</v>
      </c>
      <c r="O2459" t="str">
        <f>"41"</f>
        <v>41</v>
      </c>
      <c r="P2459" t="str">
        <f>"Régime Spécial de Sécurité Sociale"</f>
        <v>Régime Spécial de Sécurité Sociale</v>
      </c>
      <c r="Q2459" t="str">
        <f t="shared" si="375"/>
        <v>36</v>
      </c>
      <c r="R2459" t="str">
        <f t="shared" si="376"/>
        <v>Tarifs conventionnels assurance maladie</v>
      </c>
      <c r="U2459" t="str">
        <f>"750050759"</f>
        <v>750050759</v>
      </c>
    </row>
    <row r="2460" spans="1:21" x14ac:dyDescent="0.3">
      <c r="A2460" t="str">
        <f>"130008683"</f>
        <v>130008683</v>
      </c>
      <c r="B2460" t="str">
        <f>"775 685 316 03854"</f>
        <v>775 685 316 03854</v>
      </c>
      <c r="D2460" t="str">
        <f>"CDS POLYVALENT FILIERIS DE GREASQUE"</f>
        <v>CDS POLYVALENT FILIERIS DE GREASQUE</v>
      </c>
      <c r="F2460" t="str">
        <f>"ZONE ARTISANALE LES PRADEAUX"</f>
        <v>ZONE ARTISANALE LES PRADEAUX</v>
      </c>
      <c r="H2460" t="str">
        <f>"13850"</f>
        <v>13850</v>
      </c>
      <c r="I2460" t="str">
        <f>"GREASQUE"</f>
        <v>GREASQUE</v>
      </c>
      <c r="J2460" t="str">
        <f>"04 42 58 80 25 "</f>
        <v xml:space="preserve">04 42 58 80 25 </v>
      </c>
      <c r="L2460" s="1">
        <v>34499</v>
      </c>
      <c r="M2460" t="str">
        <f t="shared" si="377"/>
        <v>124</v>
      </c>
      <c r="N2460" t="str">
        <f t="shared" si="378"/>
        <v>Centre de Santé</v>
      </c>
      <c r="O2460" t="str">
        <f>"41"</f>
        <v>41</v>
      </c>
      <c r="P2460" t="str">
        <f>"Régime Spécial de Sécurité Sociale"</f>
        <v>Régime Spécial de Sécurité Sociale</v>
      </c>
      <c r="Q2460" t="str">
        <f t="shared" si="375"/>
        <v>36</v>
      </c>
      <c r="R2460" t="str">
        <f t="shared" si="376"/>
        <v>Tarifs conventionnels assurance maladie</v>
      </c>
      <c r="U2460" t="str">
        <f>"750050759"</f>
        <v>750050759</v>
      </c>
    </row>
    <row r="2461" spans="1:21" x14ac:dyDescent="0.3">
      <c r="A2461" t="str">
        <f>"080007743"</f>
        <v>080007743</v>
      </c>
      <c r="B2461" t="str">
        <f>"780 349 833 00381"</f>
        <v>780 349 833 00381</v>
      </c>
      <c r="D2461" t="str">
        <f>"CENTRE DE SANTE DENTAIRE"</f>
        <v>CENTRE DE SANTE DENTAIRE</v>
      </c>
      <c r="F2461" t="str">
        <f>"12 QUAI DES FOURS"</f>
        <v>12 QUAI DES FOURS</v>
      </c>
      <c r="H2461" t="str">
        <f>"08600"</f>
        <v>08600</v>
      </c>
      <c r="I2461" t="str">
        <f>"GIVET"</f>
        <v>GIVET</v>
      </c>
      <c r="J2461" t="str">
        <f>"03 24 21 29 49 "</f>
        <v xml:space="preserve">03 24 21 29 49 </v>
      </c>
      <c r="L2461" s="1">
        <v>34492</v>
      </c>
      <c r="M2461" t="str">
        <f t="shared" si="377"/>
        <v>124</v>
      </c>
      <c r="N2461" t="str">
        <f t="shared" si="378"/>
        <v>Centre de Santé</v>
      </c>
      <c r="O2461" t="str">
        <f t="shared" ref="O2461:O2468" si="379">"47"</f>
        <v>47</v>
      </c>
      <c r="P2461" t="str">
        <f t="shared" ref="P2461:P2468" si="380">"Société Mutualiste"</f>
        <v>Société Mutualiste</v>
      </c>
      <c r="Q2461" t="str">
        <f t="shared" si="375"/>
        <v>36</v>
      </c>
      <c r="R2461" t="str">
        <f t="shared" si="376"/>
        <v>Tarifs conventionnels assurance maladie</v>
      </c>
      <c r="U2461" t="str">
        <f>"510024581"</f>
        <v>510024581</v>
      </c>
    </row>
    <row r="2462" spans="1:21" x14ac:dyDescent="0.3">
      <c r="A2462" t="str">
        <f>"810009563"</f>
        <v>810009563</v>
      </c>
      <c r="B2462" t="str">
        <f>"775 711 674 00082"</f>
        <v>775 711 674 00082</v>
      </c>
      <c r="D2462" t="str">
        <f>"CTRE DENT MUT CASTRES RUE D'ESPIC"</f>
        <v>CTRE DENT MUT CASTRES RUE D'ESPIC</v>
      </c>
      <c r="F2462" t="str">
        <f>"5 RUE D'ESPIC"</f>
        <v>5 RUE D'ESPIC</v>
      </c>
      <c r="H2462" t="str">
        <f>"81100"</f>
        <v>81100</v>
      </c>
      <c r="I2462" t="str">
        <f>"CASTRES"</f>
        <v>CASTRES</v>
      </c>
      <c r="J2462" t="str">
        <f>"05 63 62 50 62 "</f>
        <v xml:space="preserve">05 63 62 50 62 </v>
      </c>
      <c r="L2462" s="1">
        <v>34488</v>
      </c>
      <c r="M2462" t="str">
        <f t="shared" si="377"/>
        <v>124</v>
      </c>
      <c r="N2462" t="str">
        <f t="shared" si="378"/>
        <v>Centre de Santé</v>
      </c>
      <c r="O2462" t="str">
        <f t="shared" si="379"/>
        <v>47</v>
      </c>
      <c r="P2462" t="str">
        <f t="shared" si="380"/>
        <v>Société Mutualiste</v>
      </c>
      <c r="Q2462" t="str">
        <f t="shared" si="375"/>
        <v>36</v>
      </c>
      <c r="R2462" t="str">
        <f t="shared" si="376"/>
        <v>Tarifs conventionnels assurance maladie</v>
      </c>
      <c r="U2462" t="str">
        <f>"810099903"</f>
        <v>810099903</v>
      </c>
    </row>
    <row r="2463" spans="1:21" x14ac:dyDescent="0.3">
      <c r="A2463" t="str">
        <f>"700785454"</f>
        <v>700785454</v>
      </c>
      <c r="B2463" t="str">
        <f>"778 542 969 00150"</f>
        <v>778 542 969 00150</v>
      </c>
      <c r="D2463" t="str">
        <f>"CTRE SANTE DENTAIRE MUTUALISTE LUXEUIL"</f>
        <v>CTRE SANTE DENTAIRE MUTUALISTE LUXEUIL</v>
      </c>
      <c r="F2463" t="str">
        <f>"33 RUE EDOUARD HERRIOT"</f>
        <v>33 RUE EDOUARD HERRIOT</v>
      </c>
      <c r="H2463" t="str">
        <f>"70300"</f>
        <v>70300</v>
      </c>
      <c r="I2463" t="str">
        <f>"LUXEUIL LES BAINS"</f>
        <v>LUXEUIL LES BAINS</v>
      </c>
      <c r="J2463" t="str">
        <f>"03 84 40 30 00 "</f>
        <v xml:space="preserve">03 84 40 30 00 </v>
      </c>
      <c r="K2463" t="str">
        <f>"03 84 40 28 01"</f>
        <v>03 84 40 28 01</v>
      </c>
      <c r="L2463" s="1">
        <v>34486</v>
      </c>
      <c r="M2463" t="str">
        <f t="shared" si="377"/>
        <v>124</v>
      </c>
      <c r="N2463" t="str">
        <f t="shared" si="378"/>
        <v>Centre de Santé</v>
      </c>
      <c r="O2463" t="str">
        <f t="shared" si="379"/>
        <v>47</v>
      </c>
      <c r="P2463" t="str">
        <f t="shared" si="380"/>
        <v>Société Mutualiste</v>
      </c>
      <c r="Q2463" t="str">
        <f t="shared" si="375"/>
        <v>36</v>
      </c>
      <c r="R2463" t="str">
        <f t="shared" si="376"/>
        <v>Tarifs conventionnels assurance maladie</v>
      </c>
      <c r="U2463" t="str">
        <f>"700783954"</f>
        <v>700783954</v>
      </c>
    </row>
    <row r="2464" spans="1:21" x14ac:dyDescent="0.3">
      <c r="A2464" t="str">
        <f>"040789257"</f>
        <v>040789257</v>
      </c>
      <c r="B2464" t="str">
        <f>"391 642 113 00065"</f>
        <v>391 642 113 00065</v>
      </c>
      <c r="D2464" t="str">
        <f>"CDS DENTAIRE"</f>
        <v>CDS DENTAIRE</v>
      </c>
      <c r="F2464" t="str">
        <f>"40 RUE JEAN MOULIN"</f>
        <v>40 RUE JEAN MOULIN</v>
      </c>
      <c r="H2464" t="str">
        <f>"04200"</f>
        <v>04200</v>
      </c>
      <c r="I2464" t="str">
        <f>"SISTERON"</f>
        <v>SISTERON</v>
      </c>
      <c r="J2464" t="str">
        <f>"04 92 61 13 60 "</f>
        <v xml:space="preserve">04 92 61 13 60 </v>
      </c>
      <c r="K2464" t="str">
        <f>"04 92 61 36 13"</f>
        <v>04 92 61 36 13</v>
      </c>
      <c r="L2464" s="1">
        <v>34478</v>
      </c>
      <c r="M2464" t="str">
        <f t="shared" si="377"/>
        <v>124</v>
      </c>
      <c r="N2464" t="str">
        <f t="shared" si="378"/>
        <v>Centre de Santé</v>
      </c>
      <c r="O2464" t="str">
        <f t="shared" si="379"/>
        <v>47</v>
      </c>
      <c r="P2464" t="str">
        <f t="shared" si="380"/>
        <v>Société Mutualiste</v>
      </c>
      <c r="Q2464" t="str">
        <f t="shared" si="375"/>
        <v>36</v>
      </c>
      <c r="R2464" t="str">
        <f t="shared" si="376"/>
        <v>Tarifs conventionnels assurance maladie</v>
      </c>
      <c r="U2464" t="str">
        <f>"050006741"</f>
        <v>050006741</v>
      </c>
    </row>
    <row r="2465" spans="1:21" x14ac:dyDescent="0.3">
      <c r="A2465" t="str">
        <f>"060801305"</f>
        <v>060801305</v>
      </c>
      <c r="D2465" t="str">
        <f>"CDS DENTAIRE OXANCE ANTIBES"</f>
        <v>CDS DENTAIRE OXANCE ANTIBES</v>
      </c>
      <c r="F2465" t="str">
        <f>"12 RUE SADI CARNOT"</f>
        <v>12 RUE SADI CARNOT</v>
      </c>
      <c r="H2465" t="str">
        <f>"06600"</f>
        <v>06600</v>
      </c>
      <c r="I2465" t="str">
        <f>"ANTIBES"</f>
        <v>ANTIBES</v>
      </c>
      <c r="J2465" t="str">
        <f>"04 92 90 40 40 "</f>
        <v xml:space="preserve">04 92 90 40 40 </v>
      </c>
      <c r="K2465" t="str">
        <f>"04 92 90 70 61"</f>
        <v>04 92 90 70 61</v>
      </c>
      <c r="L2465" s="1">
        <v>34458</v>
      </c>
      <c r="M2465" t="str">
        <f t="shared" si="377"/>
        <v>124</v>
      </c>
      <c r="N2465" t="str">
        <f t="shared" si="378"/>
        <v>Centre de Santé</v>
      </c>
      <c r="O2465" t="str">
        <f t="shared" si="379"/>
        <v>47</v>
      </c>
      <c r="P2465" t="str">
        <f t="shared" si="380"/>
        <v>Société Mutualiste</v>
      </c>
      <c r="Q2465" t="str">
        <f t="shared" si="375"/>
        <v>36</v>
      </c>
      <c r="R2465" t="str">
        <f t="shared" si="376"/>
        <v>Tarifs conventionnels assurance maladie</v>
      </c>
      <c r="U2465" t="str">
        <f>"690048111"</f>
        <v>690048111</v>
      </c>
    </row>
    <row r="2466" spans="1:21" x14ac:dyDescent="0.3">
      <c r="A2466" t="str">
        <f>"740781109"</f>
        <v>740781109</v>
      </c>
      <c r="B2466" t="str">
        <f>"775 654 478 00293"</f>
        <v>775 654 478 00293</v>
      </c>
      <c r="D2466" t="str">
        <f>"CENTRE DE SANTE UMFMB ANNECY/GARE"</f>
        <v>CENTRE DE SANTE UMFMB ANNECY/GARE</v>
      </c>
      <c r="E2466" t="str">
        <f>"5-7"</f>
        <v>5-7</v>
      </c>
      <c r="F2466" t="str">
        <f>"RUE DE LA GARE"</f>
        <v>RUE DE LA GARE</v>
      </c>
      <c r="H2466" t="str">
        <f>"74000"</f>
        <v>74000</v>
      </c>
      <c r="I2466" t="str">
        <f>"ANNECY"</f>
        <v>ANNECY</v>
      </c>
      <c r="J2466" t="str">
        <f>"04 50 45 20 47 "</f>
        <v xml:space="preserve">04 50 45 20 47 </v>
      </c>
      <c r="K2466" t="str">
        <f>"04 50 45 98 08"</f>
        <v>04 50 45 98 08</v>
      </c>
      <c r="L2466" s="1">
        <v>34455</v>
      </c>
      <c r="M2466" t="str">
        <f t="shared" si="377"/>
        <v>124</v>
      </c>
      <c r="N2466" t="str">
        <f t="shared" si="378"/>
        <v>Centre de Santé</v>
      </c>
      <c r="O2466" t="str">
        <f t="shared" si="379"/>
        <v>47</v>
      </c>
      <c r="P2466" t="str">
        <f t="shared" si="380"/>
        <v>Société Mutualiste</v>
      </c>
      <c r="Q2466" t="str">
        <f t="shared" si="375"/>
        <v>36</v>
      </c>
      <c r="R2466" t="str">
        <f t="shared" si="376"/>
        <v>Tarifs conventionnels assurance maladie</v>
      </c>
      <c r="U2466" t="str">
        <f>"740787791"</f>
        <v>740787791</v>
      </c>
    </row>
    <row r="2467" spans="1:21" x14ac:dyDescent="0.3">
      <c r="A2467" t="str">
        <f>"630791812"</f>
        <v>630791812</v>
      </c>
      <c r="B2467" t="str">
        <f>"775 602 436 01078"</f>
        <v>775 602 436 01078</v>
      </c>
      <c r="D2467" t="str">
        <f>"CENTRE DE SANTE DENTAIRE BD BERTHELOT"</f>
        <v>CENTRE DE SANTE DENTAIRE BD BERTHELOT</v>
      </c>
      <c r="F2467" t="str">
        <f>"52 BOULEVARD BERTHELOT"</f>
        <v>52 BOULEVARD BERTHELOT</v>
      </c>
      <c r="H2467" t="str">
        <f>"63000"</f>
        <v>63000</v>
      </c>
      <c r="I2467" t="str">
        <f>"CLERMONT FERRAND"</f>
        <v>CLERMONT FERRAND</v>
      </c>
      <c r="J2467" t="str">
        <f>"04 73 19 07 01 "</f>
        <v xml:space="preserve">04 73 19 07 01 </v>
      </c>
      <c r="L2467" s="1">
        <v>34442</v>
      </c>
      <c r="M2467" t="str">
        <f t="shared" si="377"/>
        <v>124</v>
      </c>
      <c r="N2467" t="str">
        <f t="shared" si="378"/>
        <v>Centre de Santé</v>
      </c>
      <c r="O2467" t="str">
        <f t="shared" si="379"/>
        <v>47</v>
      </c>
      <c r="P2467" t="str">
        <f t="shared" si="380"/>
        <v>Société Mutualiste</v>
      </c>
      <c r="Q2467" t="str">
        <f t="shared" si="375"/>
        <v>36</v>
      </c>
      <c r="R2467" t="str">
        <f t="shared" si="376"/>
        <v>Tarifs conventionnels assurance maladie</v>
      </c>
      <c r="U2467" t="str">
        <f>"420787061"</f>
        <v>420787061</v>
      </c>
    </row>
    <row r="2468" spans="1:21" x14ac:dyDescent="0.3">
      <c r="A2468" t="str">
        <f>"740790357"</f>
        <v>740790357</v>
      </c>
      <c r="B2468" t="str">
        <f>"775 654 478 00566"</f>
        <v>775 654 478 00566</v>
      </c>
      <c r="D2468" t="str">
        <f>"CENTRE DE SANTE UMFMB RUMILLY"</f>
        <v>CENTRE DE SANTE UMFMB RUMILLY</v>
      </c>
      <c r="F2468" t="str">
        <f>"11 PLACE DE LA MANUFACTURE"</f>
        <v>11 PLACE DE LA MANUFACTURE</v>
      </c>
      <c r="H2468" t="str">
        <f>"74150"</f>
        <v>74150</v>
      </c>
      <c r="I2468" t="str">
        <f>"RUMILLY"</f>
        <v>RUMILLY</v>
      </c>
      <c r="J2468" t="str">
        <f>"04 50 64 53 22 "</f>
        <v xml:space="preserve">04 50 64 53 22 </v>
      </c>
      <c r="K2468" t="str">
        <f>"04 50 64 52 93"</f>
        <v>04 50 64 52 93</v>
      </c>
      <c r="L2468" s="1">
        <v>34425</v>
      </c>
      <c r="M2468" t="str">
        <f t="shared" si="377"/>
        <v>124</v>
      </c>
      <c r="N2468" t="str">
        <f t="shared" si="378"/>
        <v>Centre de Santé</v>
      </c>
      <c r="O2468" t="str">
        <f t="shared" si="379"/>
        <v>47</v>
      </c>
      <c r="P2468" t="str">
        <f t="shared" si="380"/>
        <v>Société Mutualiste</v>
      </c>
      <c r="Q2468" t="str">
        <f t="shared" ref="Q2468:Q2531" si="381">"36"</f>
        <v>36</v>
      </c>
      <c r="R2468" t="str">
        <f t="shared" ref="R2468:R2531" si="382">"Tarifs conventionnels assurance maladie"</f>
        <v>Tarifs conventionnels assurance maladie</v>
      </c>
      <c r="U2468" t="str">
        <f>"740787791"</f>
        <v>740787791</v>
      </c>
    </row>
    <row r="2469" spans="1:21" x14ac:dyDescent="0.3">
      <c r="A2469" t="str">
        <f>"290033935"</f>
        <v>290033935</v>
      </c>
      <c r="B2469" t="str">
        <f>"775 577 950 00592"</f>
        <v>775 577 950 00592</v>
      </c>
      <c r="D2469" t="str">
        <f>"CDS POINT SANTE"</f>
        <v>CDS POINT SANTE</v>
      </c>
      <c r="F2469" t="str">
        <f>"RUE LOUIS BODÉLIO"</f>
        <v>RUE LOUIS BODÉLIO</v>
      </c>
      <c r="H2469" t="str">
        <f>"29600"</f>
        <v>29600</v>
      </c>
      <c r="I2469" t="str">
        <f>"PLOURIN LES MORLAIX"</f>
        <v>PLOURIN LES MORLAIX</v>
      </c>
      <c r="J2469" t="str">
        <f>"02 98 88 19 11 "</f>
        <v xml:space="preserve">02 98 88 19 11 </v>
      </c>
      <c r="K2469" t="str">
        <f>"02 98 62 25 49"</f>
        <v>02 98 62 25 49</v>
      </c>
      <c r="L2469" s="1">
        <v>34411</v>
      </c>
      <c r="M2469" t="str">
        <f t="shared" si="377"/>
        <v>124</v>
      </c>
      <c r="N2469" t="str">
        <f t="shared" si="378"/>
        <v>Centre de Santé</v>
      </c>
      <c r="O2469" t="str">
        <f>"60"</f>
        <v>60</v>
      </c>
      <c r="P2469" t="str">
        <f>"Association Loi 1901 non Reconnue d'Utilité Publique"</f>
        <v>Association Loi 1901 non Reconnue d'Utilité Publique</v>
      </c>
      <c r="Q2469" t="str">
        <f t="shared" si="381"/>
        <v>36</v>
      </c>
      <c r="R2469" t="str">
        <f t="shared" si="382"/>
        <v>Tarifs conventionnels assurance maladie</v>
      </c>
      <c r="U2469" t="str">
        <f>"290007392"</f>
        <v>290007392</v>
      </c>
    </row>
    <row r="2470" spans="1:21" x14ac:dyDescent="0.3">
      <c r="A2470" t="str">
        <f>"060801222"</f>
        <v>060801222</v>
      </c>
      <c r="D2470" t="str">
        <f>"CDS DENTAIRE"</f>
        <v>CDS DENTAIRE</v>
      </c>
      <c r="F2470" t="str">
        <f>"8 AVENUE DU 24 AOUT"</f>
        <v>8 AVENUE DU 24 AOUT</v>
      </c>
      <c r="H2470" t="str">
        <f>"06600"</f>
        <v>06600</v>
      </c>
      <c r="I2470" t="str">
        <f>"ANTIBES"</f>
        <v>ANTIBES</v>
      </c>
      <c r="J2470" t="str">
        <f>"04 93 34 18 04 "</f>
        <v xml:space="preserve">04 93 34 18 04 </v>
      </c>
      <c r="K2470" t="str">
        <f>"04 93 34 52 63"</f>
        <v>04 93 34 52 63</v>
      </c>
      <c r="L2470" s="1">
        <v>34400</v>
      </c>
      <c r="M2470" t="str">
        <f t="shared" si="377"/>
        <v>124</v>
      </c>
      <c r="N2470" t="str">
        <f t="shared" si="378"/>
        <v>Centre de Santé</v>
      </c>
      <c r="O2470" t="str">
        <f>"47"</f>
        <v>47</v>
      </c>
      <c r="P2470" t="str">
        <f>"Société Mutualiste"</f>
        <v>Société Mutualiste</v>
      </c>
      <c r="Q2470" t="str">
        <f t="shared" si="381"/>
        <v>36</v>
      </c>
      <c r="R2470" t="str">
        <f t="shared" si="382"/>
        <v>Tarifs conventionnels assurance maladie</v>
      </c>
      <c r="U2470" t="str">
        <f>"130007032"</f>
        <v>130007032</v>
      </c>
    </row>
    <row r="2471" spans="1:21" x14ac:dyDescent="0.3">
      <c r="A2471" t="str">
        <f>"840013437"</f>
        <v>840013437</v>
      </c>
      <c r="B2471" t="str">
        <f>"783 204 548 00060"</f>
        <v>783 204 548 00060</v>
      </c>
      <c r="D2471" t="str">
        <f>"CDS DENTAIRE DE L UMV"</f>
        <v>CDS DENTAIRE DE L UMV</v>
      </c>
      <c r="F2471" t="str">
        <f>"350 AVENUE DU GENERAL DE GAULLE"</f>
        <v>350 AVENUE DU GENERAL DE GAULLE</v>
      </c>
      <c r="H2471" t="str">
        <f>"84100"</f>
        <v>84100</v>
      </c>
      <c r="I2471" t="str">
        <f>"ORANGE"</f>
        <v>ORANGE</v>
      </c>
      <c r="J2471" t="str">
        <f>"04 90 51 17 17 "</f>
        <v xml:space="preserve">04 90 51 17 17 </v>
      </c>
      <c r="L2471" s="1">
        <v>34362</v>
      </c>
      <c r="M2471" t="str">
        <f t="shared" si="377"/>
        <v>124</v>
      </c>
      <c r="N2471" t="str">
        <f t="shared" si="378"/>
        <v>Centre de Santé</v>
      </c>
      <c r="O2471" t="str">
        <f>"47"</f>
        <v>47</v>
      </c>
      <c r="P2471" t="str">
        <f>"Société Mutualiste"</f>
        <v>Société Mutualiste</v>
      </c>
      <c r="Q2471" t="str">
        <f t="shared" si="381"/>
        <v>36</v>
      </c>
      <c r="R2471" t="str">
        <f t="shared" si="382"/>
        <v>Tarifs conventionnels assurance maladie</v>
      </c>
      <c r="U2471" t="str">
        <f>"840010144"</f>
        <v>840010144</v>
      </c>
    </row>
    <row r="2472" spans="1:21" x14ac:dyDescent="0.3">
      <c r="A2472" t="str">
        <f>"840013411"</f>
        <v>840013411</v>
      </c>
      <c r="B2472" t="str">
        <f>"352 098 131 00118"</f>
        <v>352 098 131 00118</v>
      </c>
      <c r="D2472" t="str">
        <f>"CDS DENTAIRE"</f>
        <v>CDS DENTAIRE</v>
      </c>
      <c r="F2472" t="str">
        <f>"16 RUE SAINT CHARLES"</f>
        <v>16 RUE SAINT CHARLES</v>
      </c>
      <c r="H2472" t="str">
        <f>"84000"</f>
        <v>84000</v>
      </c>
      <c r="I2472" t="str">
        <f>"AVIGNON"</f>
        <v>AVIGNON</v>
      </c>
      <c r="J2472" t="str">
        <f>"04 90 14 95 30 "</f>
        <v xml:space="preserve">04 90 14 95 30 </v>
      </c>
      <c r="L2472" s="1">
        <v>34353</v>
      </c>
      <c r="M2472" t="str">
        <f t="shared" si="377"/>
        <v>124</v>
      </c>
      <c r="N2472" t="str">
        <f t="shared" si="378"/>
        <v>Centre de Santé</v>
      </c>
      <c r="O2472" t="str">
        <f>"47"</f>
        <v>47</v>
      </c>
      <c r="P2472" t="str">
        <f>"Société Mutualiste"</f>
        <v>Société Mutualiste</v>
      </c>
      <c r="Q2472" t="str">
        <f t="shared" si="381"/>
        <v>36</v>
      </c>
      <c r="R2472" t="str">
        <f t="shared" si="382"/>
        <v>Tarifs conventionnels assurance maladie</v>
      </c>
      <c r="U2472" t="str">
        <f>"130007032"</f>
        <v>130007032</v>
      </c>
    </row>
    <row r="2473" spans="1:21" x14ac:dyDescent="0.3">
      <c r="A2473" t="str">
        <f>"920010014"</f>
        <v>920010014</v>
      </c>
      <c r="B2473" t="str">
        <f>"775 672 272 17532"</f>
        <v>775 672 272 17532</v>
      </c>
      <c r="D2473" t="str">
        <f>"CDS CROIX ROUGE FRANCAISE"</f>
        <v>CDS CROIX ROUGE FRANCAISE</v>
      </c>
      <c r="F2473" t="str">
        <f>"02 ALLEE DU NIL"</f>
        <v>02 ALLEE DU NIL</v>
      </c>
      <c r="H2473" t="str">
        <f>"92160"</f>
        <v>92160</v>
      </c>
      <c r="I2473" t="str">
        <f>"ANTONY"</f>
        <v>ANTONY</v>
      </c>
      <c r="J2473" t="str">
        <f>"01 46 74 13 90 "</f>
        <v xml:space="preserve">01 46 74 13 90 </v>
      </c>
      <c r="K2473" t="str">
        <f>"01 46 74 13 93"</f>
        <v>01 46 74 13 93</v>
      </c>
      <c r="L2473" s="1">
        <v>34335</v>
      </c>
      <c r="M2473" t="str">
        <f t="shared" si="377"/>
        <v>124</v>
      </c>
      <c r="N2473" t="str">
        <f t="shared" si="378"/>
        <v>Centre de Santé</v>
      </c>
      <c r="O2473" t="str">
        <f>"61"</f>
        <v>61</v>
      </c>
      <c r="P2473" t="str">
        <f>"Association Loi 1901 Reconnue d'Utilité Publique"</f>
        <v>Association Loi 1901 Reconnue d'Utilité Publique</v>
      </c>
      <c r="Q2473" t="str">
        <f t="shared" si="381"/>
        <v>36</v>
      </c>
      <c r="R2473" t="str">
        <f t="shared" si="382"/>
        <v>Tarifs conventionnels assurance maladie</v>
      </c>
      <c r="U2473" t="str">
        <f>"750721334"</f>
        <v>750721334</v>
      </c>
    </row>
    <row r="2474" spans="1:21" x14ac:dyDescent="0.3">
      <c r="A2474" t="str">
        <f>"590782033"</f>
        <v>590782033</v>
      </c>
      <c r="D2474" t="str">
        <f>"CENTRE SOINS ET SANTÉ ANNEXE"</f>
        <v>CENTRE SOINS ET SANTÉ ANNEXE</v>
      </c>
      <c r="E2474" t="str">
        <f>"PÔLE MÉDICAL VIVANCE"</f>
        <v>PÔLE MÉDICAL VIVANCE</v>
      </c>
      <c r="F2474" t="str">
        <f>"29 RUE DE RECKEM"</f>
        <v>29 RUE DE RECKEM</v>
      </c>
      <c r="H2474" t="str">
        <f>"59960"</f>
        <v>59960</v>
      </c>
      <c r="I2474" t="str">
        <f>"NEUVILLE EN FERRAIN"</f>
        <v>NEUVILLE EN FERRAIN</v>
      </c>
      <c r="J2474" t="str">
        <f>"03 20 46 53 46 "</f>
        <v xml:space="preserve">03 20 46 53 46 </v>
      </c>
      <c r="L2474" s="1">
        <v>34334</v>
      </c>
      <c r="M2474" t="str">
        <f t="shared" si="377"/>
        <v>124</v>
      </c>
      <c r="N2474" t="str">
        <f t="shared" si="378"/>
        <v>Centre de Santé</v>
      </c>
      <c r="O2474" t="str">
        <f>"60"</f>
        <v>60</v>
      </c>
      <c r="P2474" t="str">
        <f>"Association Loi 1901 non Reconnue d'Utilité Publique"</f>
        <v>Association Loi 1901 non Reconnue d'Utilité Publique</v>
      </c>
      <c r="Q2474" t="str">
        <f t="shared" si="381"/>
        <v>36</v>
      </c>
      <c r="R2474" t="str">
        <f t="shared" si="382"/>
        <v>Tarifs conventionnels assurance maladie</v>
      </c>
      <c r="U2474" t="str">
        <f>"590001475"</f>
        <v>590001475</v>
      </c>
    </row>
    <row r="2475" spans="1:21" x14ac:dyDescent="0.3">
      <c r="A2475" t="str">
        <f>"330803750"</f>
        <v>330803750</v>
      </c>
      <c r="B2475" t="str">
        <f>"781 847 421 00083"</f>
        <v>781 847 421 00083</v>
      </c>
      <c r="D2475" t="str">
        <f>"CENTRE DE SANTE DENTAIRE PELLEPORT"</f>
        <v>CENTRE DE SANTE DENTAIRE PELLEPORT</v>
      </c>
      <c r="F2475" t="str">
        <f>"232 RUE PELLEPORT"</f>
        <v>232 RUE PELLEPORT</v>
      </c>
      <c r="H2475" t="str">
        <f>"33079"</f>
        <v>33079</v>
      </c>
      <c r="I2475" t="str">
        <f>"BORDEAUX CEDEX"</f>
        <v>BORDEAUX CEDEX</v>
      </c>
      <c r="J2475" t="str">
        <f>"05 56 33 01 40 "</f>
        <v xml:space="preserve">05 56 33 01 40 </v>
      </c>
      <c r="K2475" t="str">
        <f>"05 56 11 54 55"</f>
        <v>05 56 11 54 55</v>
      </c>
      <c r="L2475" s="1">
        <v>34323</v>
      </c>
      <c r="M2475" t="str">
        <f t="shared" si="377"/>
        <v>124</v>
      </c>
      <c r="N2475" t="str">
        <f t="shared" si="378"/>
        <v>Centre de Santé</v>
      </c>
      <c r="O2475" t="str">
        <f>"40"</f>
        <v>40</v>
      </c>
      <c r="P2475" t="str">
        <f>"Régime Général de Sécurité Sociale"</f>
        <v>Régime Général de Sécurité Sociale</v>
      </c>
      <c r="Q2475" t="str">
        <f t="shared" si="381"/>
        <v>36</v>
      </c>
      <c r="R2475" t="str">
        <f t="shared" si="382"/>
        <v>Tarifs conventionnels assurance maladie</v>
      </c>
      <c r="U2475" t="str">
        <f>"330782939"</f>
        <v>330782939</v>
      </c>
    </row>
    <row r="2476" spans="1:21" x14ac:dyDescent="0.3">
      <c r="A2476" t="str">
        <f>"300004348"</f>
        <v>300004348</v>
      </c>
      <c r="D2476" t="str">
        <f>"CDS MAISON MEDICALE MUTUALISTE NIMES"</f>
        <v>CDS MAISON MEDICALE MUTUALISTE NIMES</v>
      </c>
      <c r="F2476" t="str">
        <f>"490 RUE ANDRE MARQUES"</f>
        <v>490 RUE ANDRE MARQUES</v>
      </c>
      <c r="H2476" t="str">
        <f>"30000"</f>
        <v>30000</v>
      </c>
      <c r="I2476" t="str">
        <f>"NIMES"</f>
        <v>NIMES</v>
      </c>
      <c r="J2476" t="str">
        <f>"04 66 26 19 74 "</f>
        <v xml:space="preserve">04 66 26 19 74 </v>
      </c>
      <c r="K2476" t="str">
        <f>"04 66 27 25 82"</f>
        <v>04 66 27 25 82</v>
      </c>
      <c r="L2476" s="1">
        <v>34320</v>
      </c>
      <c r="M2476" t="str">
        <f t="shared" si="377"/>
        <v>124</v>
      </c>
      <c r="N2476" t="str">
        <f t="shared" si="378"/>
        <v>Centre de Santé</v>
      </c>
      <c r="O2476" t="str">
        <f>"47"</f>
        <v>47</v>
      </c>
      <c r="P2476" t="str">
        <f>"Société Mutualiste"</f>
        <v>Société Mutualiste</v>
      </c>
      <c r="Q2476" t="str">
        <f t="shared" si="381"/>
        <v>36</v>
      </c>
      <c r="R2476" t="str">
        <f t="shared" si="382"/>
        <v>Tarifs conventionnels assurance maladie</v>
      </c>
      <c r="U2476" t="str">
        <f>"690048111"</f>
        <v>690048111</v>
      </c>
    </row>
    <row r="2477" spans="1:21" x14ac:dyDescent="0.3">
      <c r="A2477" t="str">
        <f>"060801164"</f>
        <v>060801164</v>
      </c>
      <c r="D2477" t="str">
        <f>"CDS DENTAIRE OXANCE GRASSE"</f>
        <v>CDS DENTAIRE OXANCE GRASSE</v>
      </c>
      <c r="F2477" t="str">
        <f>"34 BOULEVARD MARCEL PAGNOL"</f>
        <v>34 BOULEVARD MARCEL PAGNOL</v>
      </c>
      <c r="H2477" t="str">
        <f>"06130"</f>
        <v>06130</v>
      </c>
      <c r="I2477" t="str">
        <f>"GRASSE"</f>
        <v>GRASSE</v>
      </c>
      <c r="J2477" t="str">
        <f>"04 93 40 69 69 "</f>
        <v xml:space="preserve">04 93 40 69 69 </v>
      </c>
      <c r="K2477" t="str">
        <f>"04 93 40 69 49"</f>
        <v>04 93 40 69 49</v>
      </c>
      <c r="L2477" s="1">
        <v>34303</v>
      </c>
      <c r="M2477" t="str">
        <f t="shared" si="377"/>
        <v>124</v>
      </c>
      <c r="N2477" t="str">
        <f t="shared" si="378"/>
        <v>Centre de Santé</v>
      </c>
      <c r="O2477" t="str">
        <f>"47"</f>
        <v>47</v>
      </c>
      <c r="P2477" t="str">
        <f>"Société Mutualiste"</f>
        <v>Société Mutualiste</v>
      </c>
      <c r="Q2477" t="str">
        <f t="shared" si="381"/>
        <v>36</v>
      </c>
      <c r="R2477" t="str">
        <f t="shared" si="382"/>
        <v>Tarifs conventionnels assurance maladie</v>
      </c>
      <c r="U2477" t="str">
        <f>"690048111"</f>
        <v>690048111</v>
      </c>
    </row>
    <row r="2478" spans="1:21" x14ac:dyDescent="0.3">
      <c r="A2478" t="str">
        <f>"680006798"</f>
        <v>680006798</v>
      </c>
      <c r="B2478" t="str">
        <f>"775 685 316 03680"</f>
        <v>775 685 316 03680</v>
      </c>
      <c r="D2478" t="str">
        <f>"CSP FILIERIS DE WITTELSHEIM"</f>
        <v>CSP FILIERIS DE WITTELSHEIM</v>
      </c>
      <c r="F2478" t="str">
        <f>"95 RUE DE MULHOUSE"</f>
        <v>95 RUE DE MULHOUSE</v>
      </c>
      <c r="H2478" t="str">
        <f>"68310"</f>
        <v>68310</v>
      </c>
      <c r="I2478" t="str">
        <f>"WITTELSHEIM"</f>
        <v>WITTELSHEIM</v>
      </c>
      <c r="J2478" t="str">
        <f>"03 89 55 03 30 "</f>
        <v xml:space="preserve">03 89 55 03 30 </v>
      </c>
      <c r="L2478" s="1">
        <v>34302</v>
      </c>
      <c r="M2478" t="str">
        <f t="shared" si="377"/>
        <v>124</v>
      </c>
      <c r="N2478" t="str">
        <f t="shared" si="378"/>
        <v>Centre de Santé</v>
      </c>
      <c r="O2478" t="str">
        <f>"41"</f>
        <v>41</v>
      </c>
      <c r="P2478" t="str">
        <f>"Régime Spécial de Sécurité Sociale"</f>
        <v>Régime Spécial de Sécurité Sociale</v>
      </c>
      <c r="Q2478" t="str">
        <f t="shared" si="381"/>
        <v>36</v>
      </c>
      <c r="R2478" t="str">
        <f t="shared" si="382"/>
        <v>Tarifs conventionnels assurance maladie</v>
      </c>
      <c r="U2478" t="str">
        <f>"750050759"</f>
        <v>750050759</v>
      </c>
    </row>
    <row r="2479" spans="1:21" x14ac:dyDescent="0.3">
      <c r="A2479" t="str">
        <f>"680006939"</f>
        <v>680006939</v>
      </c>
      <c r="B2479" t="str">
        <f>"775 685 316 03748"</f>
        <v>775 685 316 03748</v>
      </c>
      <c r="D2479" t="str">
        <f>"CSP FILIERIS DE WITTENHEIM"</f>
        <v>CSP FILIERIS DE WITTENHEIM</v>
      </c>
      <c r="F2479" t="str">
        <f>"26 RUE MAL DE LATTRE DE TASSIGNY"</f>
        <v>26 RUE MAL DE LATTRE DE TASSIGNY</v>
      </c>
      <c r="H2479" t="str">
        <f>"68270"</f>
        <v>68270</v>
      </c>
      <c r="I2479" t="str">
        <f>"WITTENHEIM"</f>
        <v>WITTENHEIM</v>
      </c>
      <c r="J2479" t="str">
        <f>"03 89 52 75 32 "</f>
        <v xml:space="preserve">03 89 52 75 32 </v>
      </c>
      <c r="L2479" s="1">
        <v>34302</v>
      </c>
      <c r="M2479" t="str">
        <f t="shared" si="377"/>
        <v>124</v>
      </c>
      <c r="N2479" t="str">
        <f t="shared" si="378"/>
        <v>Centre de Santé</v>
      </c>
      <c r="O2479" t="str">
        <f>"41"</f>
        <v>41</v>
      </c>
      <c r="P2479" t="str">
        <f>"Régime Spécial de Sécurité Sociale"</f>
        <v>Régime Spécial de Sécurité Sociale</v>
      </c>
      <c r="Q2479" t="str">
        <f t="shared" si="381"/>
        <v>36</v>
      </c>
      <c r="R2479" t="str">
        <f t="shared" si="382"/>
        <v>Tarifs conventionnels assurance maladie</v>
      </c>
      <c r="U2479" t="str">
        <f>"750050759"</f>
        <v>750050759</v>
      </c>
    </row>
    <row r="2480" spans="1:21" x14ac:dyDescent="0.3">
      <c r="A2480" t="str">
        <f>"570011478"</f>
        <v>570011478</v>
      </c>
      <c r="B2480" t="str">
        <f>"775 685 316 03664"</f>
        <v>775 685 316 03664</v>
      </c>
      <c r="D2480" t="str">
        <f>"CSP FILIERIS DE FAREBERSVILLER"</f>
        <v>CSP FILIERIS DE FAREBERSVILLER</v>
      </c>
      <c r="F2480" t="str">
        <f>"8 RUE VICTOR HUGO"</f>
        <v>8 RUE VICTOR HUGO</v>
      </c>
      <c r="H2480" t="str">
        <f>"57450"</f>
        <v>57450</v>
      </c>
      <c r="I2480" t="str">
        <f>"FAREBERSVILLER"</f>
        <v>FAREBERSVILLER</v>
      </c>
      <c r="J2480" t="str">
        <f>"03 87 00 34 50 "</f>
        <v xml:space="preserve">03 87 00 34 50 </v>
      </c>
      <c r="K2480" t="str">
        <f>"03 87 00 34 59"</f>
        <v>03 87 00 34 59</v>
      </c>
      <c r="L2480" s="1">
        <v>34207</v>
      </c>
      <c r="M2480" t="str">
        <f t="shared" si="377"/>
        <v>124</v>
      </c>
      <c r="N2480" t="str">
        <f t="shared" si="378"/>
        <v>Centre de Santé</v>
      </c>
      <c r="O2480" t="str">
        <f>"41"</f>
        <v>41</v>
      </c>
      <c r="P2480" t="str">
        <f>"Régime Spécial de Sécurité Sociale"</f>
        <v>Régime Spécial de Sécurité Sociale</v>
      </c>
      <c r="Q2480" t="str">
        <f t="shared" si="381"/>
        <v>36</v>
      </c>
      <c r="R2480" t="str">
        <f t="shared" si="382"/>
        <v>Tarifs conventionnels assurance maladie</v>
      </c>
      <c r="U2480" t="str">
        <f>"750050759"</f>
        <v>750050759</v>
      </c>
    </row>
    <row r="2481" spans="1:21" x14ac:dyDescent="0.3">
      <c r="A2481" t="str">
        <f>"570020198"</f>
        <v>570020198</v>
      </c>
      <c r="B2481" t="str">
        <f>"775 685 316 03508"</f>
        <v>775 685 316 03508</v>
      </c>
      <c r="D2481" t="str">
        <f>"CSP FILIERIS DE PUTTELANGE AUX LACS"</f>
        <v>CSP FILIERIS DE PUTTELANGE AUX LACS</v>
      </c>
      <c r="E2481" t="str">
        <f>"CHATEAU MASSING"</f>
        <v>CHATEAU MASSING</v>
      </c>
      <c r="F2481" t="str">
        <f>"12 RUE JEAN MOULIN"</f>
        <v>12 RUE JEAN MOULIN</v>
      </c>
      <c r="H2481" t="str">
        <f>"57510"</f>
        <v>57510</v>
      </c>
      <c r="I2481" t="str">
        <f>"PUTTELANGE AUX LACS"</f>
        <v>PUTTELANGE AUX LACS</v>
      </c>
      <c r="J2481" t="str">
        <f>"03 87 09 60 25 "</f>
        <v xml:space="preserve">03 87 09 60 25 </v>
      </c>
      <c r="K2481" t="str">
        <f>"03 87 89 15 29"</f>
        <v>03 87 89 15 29</v>
      </c>
      <c r="L2481" s="1">
        <v>34200</v>
      </c>
      <c r="M2481" t="str">
        <f t="shared" si="377"/>
        <v>124</v>
      </c>
      <c r="N2481" t="str">
        <f t="shared" si="378"/>
        <v>Centre de Santé</v>
      </c>
      <c r="O2481" t="str">
        <f>"41"</f>
        <v>41</v>
      </c>
      <c r="P2481" t="str">
        <f>"Régime Spécial de Sécurité Sociale"</f>
        <v>Régime Spécial de Sécurité Sociale</v>
      </c>
      <c r="Q2481" t="str">
        <f t="shared" si="381"/>
        <v>36</v>
      </c>
      <c r="R2481" t="str">
        <f t="shared" si="382"/>
        <v>Tarifs conventionnels assurance maladie</v>
      </c>
      <c r="U2481" t="str">
        <f>"750050759"</f>
        <v>750050759</v>
      </c>
    </row>
    <row r="2482" spans="1:21" x14ac:dyDescent="0.3">
      <c r="A2482" t="str">
        <f>"590039376"</f>
        <v>590039376</v>
      </c>
      <c r="B2482" t="str">
        <f>"444 444 012 00017"</f>
        <v>444 444 012 00017</v>
      </c>
      <c r="D2482" t="str">
        <f>"CENTRE DE SANTÉ DENTAIRE"</f>
        <v>CENTRE DE SANTÉ DENTAIRE</v>
      </c>
      <c r="F2482" t="str">
        <f>"310 AVENUE EUGÈNE AVINÉE"</f>
        <v>310 AVENUE EUGÈNE AVINÉE</v>
      </c>
      <c r="H2482" t="str">
        <f>"59120"</f>
        <v>59120</v>
      </c>
      <c r="I2482" t="str">
        <f>"LOOS"</f>
        <v>LOOS</v>
      </c>
      <c r="J2482" t="str">
        <f>"03 20 10 97 25 "</f>
        <v xml:space="preserve">03 20 10 97 25 </v>
      </c>
      <c r="K2482" t="str">
        <f>"03 20 10 97 11"</f>
        <v>03 20 10 97 11</v>
      </c>
      <c r="L2482" s="1">
        <v>34180</v>
      </c>
      <c r="M2482" t="str">
        <f t="shared" si="377"/>
        <v>124</v>
      </c>
      <c r="N2482" t="str">
        <f t="shared" si="378"/>
        <v>Centre de Santé</v>
      </c>
      <c r="O2482" t="str">
        <f>"47"</f>
        <v>47</v>
      </c>
      <c r="P2482" t="str">
        <f>"Société Mutualiste"</f>
        <v>Société Mutualiste</v>
      </c>
      <c r="Q2482" t="str">
        <f t="shared" si="381"/>
        <v>36</v>
      </c>
      <c r="R2482" t="str">
        <f t="shared" si="382"/>
        <v>Tarifs conventionnels assurance maladie</v>
      </c>
      <c r="U2482" t="str">
        <f>"590039350"</f>
        <v>590039350</v>
      </c>
    </row>
    <row r="2483" spans="1:21" x14ac:dyDescent="0.3">
      <c r="A2483" t="str">
        <f>"620108266"</f>
        <v>620108266</v>
      </c>
      <c r="B2483" t="str">
        <f>"775 685 316 01957"</f>
        <v>775 685 316 01957</v>
      </c>
      <c r="D2483" t="str">
        <f>"CSD FILIERIS DE BILLY MONTIGNY"</f>
        <v>CSD FILIERIS DE BILLY MONTIGNY</v>
      </c>
      <c r="F2483" t="str">
        <f>"8 RUE DU DOCTEUR LOURTIES"</f>
        <v>8 RUE DU DOCTEUR LOURTIES</v>
      </c>
      <c r="H2483" t="str">
        <f>"62420"</f>
        <v>62420</v>
      </c>
      <c r="I2483" t="str">
        <f>"BILLY MONTIGNY"</f>
        <v>BILLY MONTIGNY</v>
      </c>
      <c r="J2483" t="str">
        <f>"03 21 75 79 41 "</f>
        <v xml:space="preserve">03 21 75 79 41 </v>
      </c>
      <c r="L2483" s="1">
        <v>34180</v>
      </c>
      <c r="M2483" t="str">
        <f t="shared" si="377"/>
        <v>124</v>
      </c>
      <c r="N2483" t="str">
        <f t="shared" si="378"/>
        <v>Centre de Santé</v>
      </c>
      <c r="O2483" t="str">
        <f>"41"</f>
        <v>41</v>
      </c>
      <c r="P2483" t="str">
        <f>"Régime Spécial de Sécurité Sociale"</f>
        <v>Régime Spécial de Sécurité Sociale</v>
      </c>
      <c r="Q2483" t="str">
        <f t="shared" si="381"/>
        <v>36</v>
      </c>
      <c r="R2483" t="str">
        <f t="shared" si="382"/>
        <v>Tarifs conventionnels assurance maladie</v>
      </c>
      <c r="U2483" t="str">
        <f>"750050759"</f>
        <v>750050759</v>
      </c>
    </row>
    <row r="2484" spans="1:21" x14ac:dyDescent="0.3">
      <c r="A2484" t="str">
        <f>"290020874"</f>
        <v>290020874</v>
      </c>
      <c r="B2484" t="str">
        <f>"775 576 549 00387"</f>
        <v>775 576 549 00387</v>
      </c>
      <c r="D2484" t="str">
        <f>"CDS DENTAIRE MUTUALISTE BREST"</f>
        <v>CDS DENTAIRE MUTUALISTE BREST</v>
      </c>
      <c r="F2484" t="str">
        <f>"242 RUE JEAN JAURES"</f>
        <v>242 RUE JEAN JAURES</v>
      </c>
      <c r="H2484" t="str">
        <f>"29200"</f>
        <v>29200</v>
      </c>
      <c r="I2484" t="str">
        <f>"BREST"</f>
        <v>BREST</v>
      </c>
      <c r="J2484" t="str">
        <f>"02 98 80 82 90 "</f>
        <v xml:space="preserve">02 98 80 82 90 </v>
      </c>
      <c r="K2484" t="str">
        <f>"02 98 80 86 98"</f>
        <v>02 98 80 86 98</v>
      </c>
      <c r="L2484" s="1">
        <v>34144</v>
      </c>
      <c r="M2484" t="str">
        <f t="shared" si="377"/>
        <v>124</v>
      </c>
      <c r="N2484" t="str">
        <f t="shared" si="378"/>
        <v>Centre de Santé</v>
      </c>
      <c r="O2484" t="str">
        <f>"47"</f>
        <v>47</v>
      </c>
      <c r="P2484" t="str">
        <f>"Société Mutualiste"</f>
        <v>Société Mutualiste</v>
      </c>
      <c r="Q2484" t="str">
        <f t="shared" si="381"/>
        <v>36</v>
      </c>
      <c r="R2484" t="str">
        <f t="shared" si="382"/>
        <v>Tarifs conventionnels assurance maladie</v>
      </c>
      <c r="U2484" t="str">
        <f>"290007574"</f>
        <v>290007574</v>
      </c>
    </row>
    <row r="2485" spans="1:21" x14ac:dyDescent="0.3">
      <c r="A2485" t="str">
        <f>"900005414"</f>
        <v>900005414</v>
      </c>
      <c r="B2485" t="str">
        <f>"775 571 276 00648"</f>
        <v>775 571 276 00648</v>
      </c>
      <c r="D2485" t="str">
        <f>"CTRE SANTE DENTAIRE MUTUALISTE BELFORT"</f>
        <v>CTRE SANTE DENTAIRE MUTUALISTE BELFORT</v>
      </c>
      <c r="F2485" t="str">
        <f>"9 RUE LEON GAMBETTA"</f>
        <v>9 RUE LEON GAMBETTA</v>
      </c>
      <c r="H2485" t="str">
        <f>"90000"</f>
        <v>90000</v>
      </c>
      <c r="I2485" t="str">
        <f>"BELFORT"</f>
        <v>BELFORT</v>
      </c>
      <c r="J2485" t="str">
        <f>"03 84 58 62 66 "</f>
        <v xml:space="preserve">03 84 58 62 66 </v>
      </c>
      <c r="K2485" t="str">
        <f>"03 84 58 62 49"</f>
        <v>03 84 58 62 49</v>
      </c>
      <c r="L2485" s="1">
        <v>34135</v>
      </c>
      <c r="M2485" t="str">
        <f t="shared" si="377"/>
        <v>124</v>
      </c>
      <c r="N2485" t="str">
        <f t="shared" si="378"/>
        <v>Centre de Santé</v>
      </c>
      <c r="O2485" t="str">
        <f>"47"</f>
        <v>47</v>
      </c>
      <c r="P2485" t="str">
        <f>"Société Mutualiste"</f>
        <v>Société Mutualiste</v>
      </c>
      <c r="Q2485" t="str">
        <f t="shared" si="381"/>
        <v>36</v>
      </c>
      <c r="R2485" t="str">
        <f t="shared" si="382"/>
        <v>Tarifs conventionnels assurance maladie</v>
      </c>
      <c r="U2485" t="str">
        <f>"250001161"</f>
        <v>250001161</v>
      </c>
    </row>
    <row r="2486" spans="1:21" x14ac:dyDescent="0.3">
      <c r="A2486" t="str">
        <f>"780826301"</f>
        <v>780826301</v>
      </c>
      <c r="B2486" t="str">
        <f>"775 672 165 00195"</f>
        <v>775 672 165 00195</v>
      </c>
      <c r="D2486" t="str">
        <f>"CDS MEDICAL LEOPOLD BELLAN"</f>
        <v>CDS MEDICAL LEOPOLD BELLAN</v>
      </c>
      <c r="F2486" t="str">
        <f>"1 PLACE LEOPOLD BELLAN"</f>
        <v>1 PLACE LEOPOLD BELLAN</v>
      </c>
      <c r="H2486" t="str">
        <f>"78200"</f>
        <v>78200</v>
      </c>
      <c r="I2486" t="str">
        <f>"MAGNANVILLE"</f>
        <v>MAGNANVILLE</v>
      </c>
      <c r="J2486" t="str">
        <f>"01 30 98 19 00 "</f>
        <v xml:space="preserve">01 30 98 19 00 </v>
      </c>
      <c r="K2486" t="str">
        <f>"01 34 78 71 46"</f>
        <v>01 34 78 71 46</v>
      </c>
      <c r="L2486" s="1">
        <v>34134</v>
      </c>
      <c r="M2486" t="str">
        <f t="shared" si="377"/>
        <v>124</v>
      </c>
      <c r="N2486" t="str">
        <f t="shared" si="378"/>
        <v>Centre de Santé</v>
      </c>
      <c r="O2486" t="str">
        <f>"63"</f>
        <v>63</v>
      </c>
      <c r="P2486" t="str">
        <f>"Fondation"</f>
        <v>Fondation</v>
      </c>
      <c r="Q2486" t="str">
        <f t="shared" si="381"/>
        <v>36</v>
      </c>
      <c r="R2486" t="str">
        <f t="shared" si="382"/>
        <v>Tarifs conventionnels assurance maladie</v>
      </c>
      <c r="U2486" t="str">
        <f>"750720609"</f>
        <v>750720609</v>
      </c>
    </row>
    <row r="2487" spans="1:21" x14ac:dyDescent="0.3">
      <c r="A2487" t="str">
        <f>"750826091"</f>
        <v>750826091</v>
      </c>
      <c r="B2487" t="str">
        <f>"313 524 753 00040"</f>
        <v>313 524 753 00040</v>
      </c>
      <c r="D2487" t="str">
        <f>"CDS POLYVALENT ATLAS"</f>
        <v>CDS POLYVALENT ATLAS</v>
      </c>
      <c r="F2487" t="str">
        <f>"15 RUE DE L ATLAS"</f>
        <v>15 RUE DE L ATLAS</v>
      </c>
      <c r="H2487" t="str">
        <f>"75019"</f>
        <v>75019</v>
      </c>
      <c r="I2487" t="str">
        <f>"PARIS"</f>
        <v>PARIS</v>
      </c>
      <c r="J2487" t="str">
        <f>"01 42 40 74 74 "</f>
        <v xml:space="preserve">01 42 40 74 74 </v>
      </c>
      <c r="K2487" t="str">
        <f>"01 53 38 27 05"</f>
        <v>01 53 38 27 05</v>
      </c>
      <c r="L2487" s="1">
        <v>34121</v>
      </c>
      <c r="M2487" t="str">
        <f t="shared" si="377"/>
        <v>124</v>
      </c>
      <c r="N2487" t="str">
        <f t="shared" si="378"/>
        <v>Centre de Santé</v>
      </c>
      <c r="O2487" t="str">
        <f>"60"</f>
        <v>60</v>
      </c>
      <c r="P2487" t="str">
        <f>"Association Loi 1901 non Reconnue d'Utilité Publique"</f>
        <v>Association Loi 1901 non Reconnue d'Utilité Publique</v>
      </c>
      <c r="Q2487" t="str">
        <f t="shared" si="381"/>
        <v>36</v>
      </c>
      <c r="R2487" t="str">
        <f t="shared" si="382"/>
        <v>Tarifs conventionnels assurance maladie</v>
      </c>
      <c r="U2487" t="str">
        <f>"750819583"</f>
        <v>750819583</v>
      </c>
    </row>
    <row r="2488" spans="1:21" x14ac:dyDescent="0.3">
      <c r="A2488" t="str">
        <f>"2B0004832"</f>
        <v>2B0004832</v>
      </c>
      <c r="D2488" t="str">
        <f>"CENTRE DE SANTE POLYVALENT MUTUALISTE"</f>
        <v>CENTRE DE SANTE POLYVALENT MUTUALISTE</v>
      </c>
      <c r="E2488" t="str">
        <f>"IMMEUBLE 'LE PRADO' BÂTIMENT B"</f>
        <v>IMMEUBLE 'LE PRADO' BÂTIMENT B</v>
      </c>
      <c r="F2488" t="str">
        <f>"AVENUE DE LA LIBERATION"</f>
        <v>AVENUE DE LA LIBERATION</v>
      </c>
      <c r="G2488" t="str">
        <f>"LUPINO"</f>
        <v>LUPINO</v>
      </c>
      <c r="H2488" t="str">
        <f>"20600"</f>
        <v>20600</v>
      </c>
      <c r="I2488" t="str">
        <f>"BASTIA"</f>
        <v>BASTIA</v>
      </c>
      <c r="J2488" t="str">
        <f>"04 95 30 22 18 "</f>
        <v xml:space="preserve">04 95 30 22 18 </v>
      </c>
      <c r="L2488" s="1">
        <v>34078</v>
      </c>
      <c r="M2488" t="str">
        <f t="shared" si="377"/>
        <v>124</v>
      </c>
      <c r="N2488" t="str">
        <f t="shared" si="378"/>
        <v>Centre de Santé</v>
      </c>
      <c r="O2488" t="str">
        <f>"47"</f>
        <v>47</v>
      </c>
      <c r="P2488" t="str">
        <f>"Société Mutualiste"</f>
        <v>Société Mutualiste</v>
      </c>
      <c r="Q2488" t="str">
        <f t="shared" si="381"/>
        <v>36</v>
      </c>
      <c r="R2488" t="str">
        <f t="shared" si="382"/>
        <v>Tarifs conventionnels assurance maladie</v>
      </c>
      <c r="U2488" t="str">
        <f>"2A0001848"</f>
        <v>2A0001848</v>
      </c>
    </row>
    <row r="2489" spans="1:21" x14ac:dyDescent="0.3">
      <c r="A2489" t="str">
        <f>"930702824"</f>
        <v>930702824</v>
      </c>
      <c r="B2489" t="str">
        <f>"219 300 050 00776"</f>
        <v>219 300 050 00776</v>
      </c>
      <c r="D2489" t="str">
        <f>"CDS MEDICAL MUNICIPAL DE TOURVILLE"</f>
        <v>CDS MEDICAL MUNICIPAL DE TOURVILLE</v>
      </c>
      <c r="F2489" t="str">
        <f>"26 RUE DE TOURVILLE"</f>
        <v>26 RUE DE TOURVILLE</v>
      </c>
      <c r="H2489" t="str">
        <f>"93600"</f>
        <v>93600</v>
      </c>
      <c r="I2489" t="str">
        <f>"AULNAY SOUS BOIS"</f>
        <v>AULNAY SOUS BOIS</v>
      </c>
      <c r="J2489" t="str">
        <f>"01 48 66 27 39 "</f>
        <v xml:space="preserve">01 48 66 27 39 </v>
      </c>
      <c r="K2489" t="str">
        <f>"01 48 66 24 66"</f>
        <v>01 48 66 24 66</v>
      </c>
      <c r="L2489" s="1">
        <v>34067</v>
      </c>
      <c r="M2489" t="str">
        <f t="shared" si="377"/>
        <v>124</v>
      </c>
      <c r="N2489" t="str">
        <f t="shared" si="378"/>
        <v>Centre de Santé</v>
      </c>
      <c r="O2489" t="str">
        <f>"03"</f>
        <v>03</v>
      </c>
      <c r="P2489" t="str">
        <f>"Commune"</f>
        <v>Commune</v>
      </c>
      <c r="Q2489" t="str">
        <f t="shared" si="381"/>
        <v>36</v>
      </c>
      <c r="R2489" t="str">
        <f t="shared" si="382"/>
        <v>Tarifs conventionnels assurance maladie</v>
      </c>
      <c r="U2489" t="str">
        <f>"930812870"</f>
        <v>930812870</v>
      </c>
    </row>
    <row r="2490" spans="1:21" x14ac:dyDescent="0.3">
      <c r="A2490" t="str">
        <f>"930707047"</f>
        <v>930707047</v>
      </c>
      <c r="B2490" t="str">
        <f>"219 300 050 00867"</f>
        <v>219 300 050 00867</v>
      </c>
      <c r="D2490" t="str">
        <f>"CDS MEDICAL MUNICIPAL CROIX NOBILLON"</f>
        <v>CDS MEDICAL MUNICIPAL CROIX NOBILLON</v>
      </c>
      <c r="F2490" t="str">
        <f>"1 RUE DE LA CROIX NOBILLON"</f>
        <v>1 RUE DE LA CROIX NOBILLON</v>
      </c>
      <c r="H2490" t="str">
        <f>"93600"</f>
        <v>93600</v>
      </c>
      <c r="I2490" t="str">
        <f>"AULNAY SOUS BOIS"</f>
        <v>AULNAY SOUS BOIS</v>
      </c>
      <c r="J2490" t="str">
        <f>"01 58 03 92 81 "</f>
        <v xml:space="preserve">01 58 03 92 81 </v>
      </c>
      <c r="K2490" t="str">
        <f>"01 48 69 54 18"</f>
        <v>01 48 69 54 18</v>
      </c>
      <c r="L2490" s="1">
        <v>34067</v>
      </c>
      <c r="M2490" t="str">
        <f t="shared" si="377"/>
        <v>124</v>
      </c>
      <c r="N2490" t="str">
        <f t="shared" si="378"/>
        <v>Centre de Santé</v>
      </c>
      <c r="O2490" t="str">
        <f>"03"</f>
        <v>03</v>
      </c>
      <c r="P2490" t="str">
        <f>"Commune"</f>
        <v>Commune</v>
      </c>
      <c r="Q2490" t="str">
        <f t="shared" si="381"/>
        <v>36</v>
      </c>
      <c r="R2490" t="str">
        <f t="shared" si="382"/>
        <v>Tarifs conventionnels assurance maladie</v>
      </c>
      <c r="U2490" t="str">
        <f>"930812870"</f>
        <v>930812870</v>
      </c>
    </row>
    <row r="2491" spans="1:21" x14ac:dyDescent="0.3">
      <c r="A2491" t="str">
        <f>"770815470"</f>
        <v>770815470</v>
      </c>
      <c r="B2491" t="str">
        <f>"784 809 642 00142"</f>
        <v>784 809 642 00142</v>
      </c>
      <c r="D2491" t="str">
        <f>"CDS DENTAIRE MUTUALISTE"</f>
        <v>CDS DENTAIRE MUTUALISTE</v>
      </c>
      <c r="F2491" t="str">
        <f>"17 AVENUE JEAN BUREAU"</f>
        <v>17 AVENUE JEAN BUREAU</v>
      </c>
      <c r="H2491" t="str">
        <f>"77100"</f>
        <v>77100</v>
      </c>
      <c r="I2491" t="str">
        <f>"MEAUX"</f>
        <v>MEAUX</v>
      </c>
      <c r="J2491" t="str">
        <f>"01 64 36 54 36 "</f>
        <v xml:space="preserve">01 64 36 54 36 </v>
      </c>
      <c r="K2491" t="str">
        <f>"01 60 44 10 21"</f>
        <v>01 60 44 10 21</v>
      </c>
      <c r="L2491" s="1">
        <v>34064</v>
      </c>
      <c r="M2491" t="str">
        <f t="shared" si="377"/>
        <v>124</v>
      </c>
      <c r="N2491" t="str">
        <f t="shared" si="378"/>
        <v>Centre de Santé</v>
      </c>
      <c r="O2491" t="str">
        <f>"47"</f>
        <v>47</v>
      </c>
      <c r="P2491" t="str">
        <f>"Société Mutualiste"</f>
        <v>Société Mutualiste</v>
      </c>
      <c r="Q2491" t="str">
        <f t="shared" si="381"/>
        <v>36</v>
      </c>
      <c r="R2491" t="str">
        <f t="shared" si="382"/>
        <v>Tarifs conventionnels assurance maladie</v>
      </c>
      <c r="U2491" t="str">
        <f>"750814865"</f>
        <v>750814865</v>
      </c>
    </row>
    <row r="2492" spans="1:21" x14ac:dyDescent="0.3">
      <c r="A2492" t="str">
        <f>"490542933"</f>
        <v>490542933</v>
      </c>
      <c r="B2492" t="str">
        <f>"878 310 143 00036"</f>
        <v>878 310 143 00036</v>
      </c>
      <c r="D2492" t="str">
        <f>"CENTRE DE SANTE VIEXIDOM SERVICES"</f>
        <v>CENTRE DE SANTE VIEXIDOM SERVICES</v>
      </c>
      <c r="F2492" t="str">
        <f>"28 BOULEVARD JACQUES PORTET"</f>
        <v>28 BOULEVARD JACQUES PORTET</v>
      </c>
      <c r="H2492" t="str">
        <f>"49000"</f>
        <v>49000</v>
      </c>
      <c r="I2492" t="str">
        <f>"ANGERS"</f>
        <v>ANGERS</v>
      </c>
      <c r="J2492" t="str">
        <f>"02 41 86 49 00 "</f>
        <v xml:space="preserve">02 41 86 49 00 </v>
      </c>
      <c r="K2492" t="str">
        <f>"02 41 66 29 90"</f>
        <v>02 41 66 29 90</v>
      </c>
      <c r="L2492" s="1">
        <v>34060</v>
      </c>
      <c r="M2492" t="str">
        <f t="shared" si="377"/>
        <v>124</v>
      </c>
      <c r="N2492" t="str">
        <f t="shared" si="378"/>
        <v>Centre de Santé</v>
      </c>
      <c r="O2492" t="str">
        <f>"60"</f>
        <v>60</v>
      </c>
      <c r="P2492" t="str">
        <f>"Association Loi 1901 non Reconnue d'Utilité Publique"</f>
        <v>Association Loi 1901 non Reconnue d'Utilité Publique</v>
      </c>
      <c r="Q2492" t="str">
        <f t="shared" si="381"/>
        <v>36</v>
      </c>
      <c r="R2492" t="str">
        <f t="shared" si="382"/>
        <v>Tarifs conventionnels assurance maladie</v>
      </c>
      <c r="U2492" t="str">
        <f>"490021771"</f>
        <v>490021771</v>
      </c>
    </row>
    <row r="2493" spans="1:21" x14ac:dyDescent="0.3">
      <c r="A2493" t="str">
        <f>"170804652"</f>
        <v>170804652</v>
      </c>
      <c r="B2493" t="str">
        <f>"343 334 744 00400"</f>
        <v>343 334 744 00400</v>
      </c>
      <c r="D2493" t="str">
        <f>"CENTRE DE SANTE - MUT F. 17"</f>
        <v>CENTRE DE SANTE - MUT F. 17</v>
      </c>
      <c r="F2493" t="str">
        <f>"2 RUE SAINT MICHEL"</f>
        <v>2 RUE SAINT MICHEL</v>
      </c>
      <c r="H2493" t="str">
        <f>"17100"</f>
        <v>17100</v>
      </c>
      <c r="I2493" t="str">
        <f>"SAINTES"</f>
        <v>SAINTES</v>
      </c>
      <c r="J2493" t="str">
        <f>"05 46 74 59 36 "</f>
        <v xml:space="preserve">05 46 74 59 36 </v>
      </c>
      <c r="K2493" t="str">
        <f>"05 46 93 78 16"</f>
        <v>05 46 93 78 16</v>
      </c>
      <c r="L2493" s="1">
        <v>34054</v>
      </c>
      <c r="M2493" t="str">
        <f t="shared" si="377"/>
        <v>124</v>
      </c>
      <c r="N2493" t="str">
        <f t="shared" si="378"/>
        <v>Centre de Santé</v>
      </c>
      <c r="O2493" t="str">
        <f>"47"</f>
        <v>47</v>
      </c>
      <c r="P2493" t="str">
        <f>"Société Mutualiste"</f>
        <v>Société Mutualiste</v>
      </c>
      <c r="Q2493" t="str">
        <f t="shared" si="381"/>
        <v>36</v>
      </c>
      <c r="R2493" t="str">
        <f t="shared" si="382"/>
        <v>Tarifs conventionnels assurance maladie</v>
      </c>
      <c r="U2493" t="str">
        <f>"170020432"</f>
        <v>170020432</v>
      </c>
    </row>
    <row r="2494" spans="1:21" x14ac:dyDescent="0.3">
      <c r="A2494" t="str">
        <f>"340015213"</f>
        <v>340015213</v>
      </c>
      <c r="B2494" t="str">
        <f>"444 270 326 00218"</f>
        <v>444 270 326 00218</v>
      </c>
      <c r="D2494" t="str">
        <f>"CDS POLYVALENT MUTUALISTE MTP VALERY"</f>
        <v>CDS POLYVALENT MUTUALISTE MTP VALERY</v>
      </c>
      <c r="F2494" t="str">
        <f>"271 ALLEE DU BON ACCUEIL"</f>
        <v>271 ALLEE DU BON ACCUEIL</v>
      </c>
      <c r="H2494" t="str">
        <f>"34090"</f>
        <v>34090</v>
      </c>
      <c r="I2494" t="str">
        <f>"MONTPELLIER"</f>
        <v>MONTPELLIER</v>
      </c>
      <c r="J2494" t="str">
        <f>"04 67 52 02 76 "</f>
        <v xml:space="preserve">04 67 52 02 76 </v>
      </c>
      <c r="L2494" s="1">
        <v>34032</v>
      </c>
      <c r="M2494" t="str">
        <f t="shared" si="377"/>
        <v>124</v>
      </c>
      <c r="N2494" t="str">
        <f t="shared" si="378"/>
        <v>Centre de Santé</v>
      </c>
      <c r="O2494" t="str">
        <f>"47"</f>
        <v>47</v>
      </c>
      <c r="P2494" t="str">
        <f>"Société Mutualiste"</f>
        <v>Société Mutualiste</v>
      </c>
      <c r="Q2494" t="str">
        <f t="shared" si="381"/>
        <v>36</v>
      </c>
      <c r="R2494" t="str">
        <f t="shared" si="382"/>
        <v>Tarifs conventionnels assurance maladie</v>
      </c>
      <c r="U2494" t="str">
        <f>"340028901"</f>
        <v>340028901</v>
      </c>
    </row>
    <row r="2495" spans="1:21" x14ac:dyDescent="0.3">
      <c r="A2495" t="str">
        <f>"760920645"</f>
        <v>760920645</v>
      </c>
      <c r="B2495" t="str">
        <f>"794 994 277 02642"</f>
        <v>794 994 277 02642</v>
      </c>
      <c r="D2495" t="str">
        <f>"CENTRE VYV DENTAIRE DU HAVRE FLORIMOND"</f>
        <v>CENTRE VYV DENTAIRE DU HAVRE FLORIMOND</v>
      </c>
      <c r="E2495" t="str">
        <f>"AU 17/01/2022"</f>
        <v>AU 17/01/2022</v>
      </c>
      <c r="F2495" t="str">
        <f>"164 RUE FLORIMOND LAURENT"</f>
        <v>164 RUE FLORIMOND LAURENT</v>
      </c>
      <c r="H2495" t="str">
        <f>"76620"</f>
        <v>76620</v>
      </c>
      <c r="I2495" t="str">
        <f>"LE HAVRE"</f>
        <v>LE HAVRE</v>
      </c>
      <c r="J2495" t="str">
        <f>"02 35 19 33 95 "</f>
        <v xml:space="preserve">02 35 19 33 95 </v>
      </c>
      <c r="L2495" s="1">
        <v>34023</v>
      </c>
      <c r="M2495" t="str">
        <f t="shared" si="377"/>
        <v>124</v>
      </c>
      <c r="N2495" t="str">
        <f t="shared" si="378"/>
        <v>Centre de Santé</v>
      </c>
      <c r="O2495" t="str">
        <f>"47"</f>
        <v>47</v>
      </c>
      <c r="P2495" t="str">
        <f>"Société Mutualiste"</f>
        <v>Société Mutualiste</v>
      </c>
      <c r="Q2495" t="str">
        <f t="shared" si="381"/>
        <v>36</v>
      </c>
      <c r="R2495" t="str">
        <f t="shared" si="382"/>
        <v>Tarifs conventionnels assurance maladie</v>
      </c>
      <c r="U2495" t="str">
        <f>"760000539"</f>
        <v>760000539</v>
      </c>
    </row>
    <row r="2496" spans="1:21" x14ac:dyDescent="0.3">
      <c r="A2496" t="str">
        <f>"310781935"</f>
        <v>310781935</v>
      </c>
      <c r="B2496" t="str">
        <f>"382 864 379 00112"</f>
        <v>382 864 379 00112</v>
      </c>
      <c r="D2496" t="str">
        <f>"CTRE SOINS INFIRMIERS CAPITOLE DAURADE"</f>
        <v>CTRE SOINS INFIRMIERS CAPITOLE DAURADE</v>
      </c>
      <c r="F2496" t="str">
        <f>"2 RUE ANTOINE DEVILLE"</f>
        <v>2 RUE ANTOINE DEVILLE</v>
      </c>
      <c r="H2496" t="str">
        <f>"31000"</f>
        <v>31000</v>
      </c>
      <c r="I2496" t="str">
        <f>"TOULOUSE"</f>
        <v>TOULOUSE</v>
      </c>
      <c r="J2496" t="str">
        <f>"05 34 45 45 15 "</f>
        <v xml:space="preserve">05 34 45 45 15 </v>
      </c>
      <c r="K2496" t="str">
        <f>"05 61 23 10 99"</f>
        <v>05 61 23 10 99</v>
      </c>
      <c r="L2496" s="1">
        <v>34007</v>
      </c>
      <c r="M2496" t="str">
        <f t="shared" si="377"/>
        <v>124</v>
      </c>
      <c r="N2496" t="str">
        <f t="shared" si="378"/>
        <v>Centre de Santé</v>
      </c>
      <c r="O2496" t="str">
        <f>"60"</f>
        <v>60</v>
      </c>
      <c r="P2496" t="str">
        <f>"Association Loi 1901 non Reconnue d'Utilité Publique"</f>
        <v>Association Loi 1901 non Reconnue d'Utilité Publique</v>
      </c>
      <c r="Q2496" t="str">
        <f t="shared" si="381"/>
        <v>36</v>
      </c>
      <c r="R2496" t="str">
        <f t="shared" si="382"/>
        <v>Tarifs conventionnels assurance maladie</v>
      </c>
      <c r="U2496" t="str">
        <f>"600000426"</f>
        <v>600000426</v>
      </c>
    </row>
    <row r="2497" spans="1:21" x14ac:dyDescent="0.3">
      <c r="A2497" t="str">
        <f>"810102004"</f>
        <v>810102004</v>
      </c>
      <c r="B2497" t="str">
        <f>"775 711 674 00371"</f>
        <v>775 711 674 00371</v>
      </c>
      <c r="D2497" t="str">
        <f>"CTRE DENT MUT MAZAMET"</f>
        <v>CTRE DENT MUT MAZAMET</v>
      </c>
      <c r="E2497" t="str">
        <f>"ESPACE APPOLO"</f>
        <v>ESPACE APPOLO</v>
      </c>
      <c r="F2497" t="str">
        <f>"2 RUE DU PONT DE CAVILLE"</f>
        <v>2 RUE DU PONT DE CAVILLE</v>
      </c>
      <c r="H2497" t="str">
        <f>"81200"</f>
        <v>81200</v>
      </c>
      <c r="I2497" t="str">
        <f>"MAZAMET"</f>
        <v>MAZAMET</v>
      </c>
      <c r="J2497" t="str">
        <f>"05 63 61 06 27 "</f>
        <v xml:space="preserve">05 63 61 06 27 </v>
      </c>
      <c r="K2497" t="str">
        <f>"05 63 61 58 60"</f>
        <v>05 63 61 58 60</v>
      </c>
      <c r="L2497" s="1">
        <v>34007</v>
      </c>
      <c r="M2497" t="str">
        <f t="shared" si="377"/>
        <v>124</v>
      </c>
      <c r="N2497" t="str">
        <f t="shared" si="378"/>
        <v>Centre de Santé</v>
      </c>
      <c r="O2497" t="str">
        <f>"47"</f>
        <v>47</v>
      </c>
      <c r="P2497" t="str">
        <f>"Société Mutualiste"</f>
        <v>Société Mutualiste</v>
      </c>
      <c r="Q2497" t="str">
        <f t="shared" si="381"/>
        <v>36</v>
      </c>
      <c r="R2497" t="str">
        <f t="shared" si="382"/>
        <v>Tarifs conventionnels assurance maladie</v>
      </c>
      <c r="U2497" t="str">
        <f>"810099903"</f>
        <v>810099903</v>
      </c>
    </row>
    <row r="2498" spans="1:21" x14ac:dyDescent="0.3">
      <c r="A2498" t="str">
        <f>"380803932"</f>
        <v>380803932</v>
      </c>
      <c r="B2498" t="str">
        <f>"775 685 316 02252"</f>
        <v>775 685 316 02252</v>
      </c>
      <c r="D2498" t="str">
        <f>"CENTRE DE SANTE FILIERIS DE LA MURE"</f>
        <v>CENTRE DE SANTE FILIERIS DE LA MURE</v>
      </c>
      <c r="F2498" t="str">
        <f>"3 MONTEE DE LA CITADELLE"</f>
        <v>3 MONTEE DE LA CITADELLE</v>
      </c>
      <c r="H2498" t="str">
        <f>"38350"</f>
        <v>38350</v>
      </c>
      <c r="I2498" t="str">
        <f>"LA MURE D ISERE"</f>
        <v>LA MURE D ISERE</v>
      </c>
      <c r="J2498" t="str">
        <f>"04 76 81 12 13 "</f>
        <v xml:space="preserve">04 76 81 12 13 </v>
      </c>
      <c r="K2498" t="str">
        <f>"04 76 81 09 18"</f>
        <v>04 76 81 09 18</v>
      </c>
      <c r="L2498" s="1">
        <v>33996</v>
      </c>
      <c r="M2498" t="str">
        <f t="shared" ref="M2498:M2561" si="383">"124"</f>
        <v>124</v>
      </c>
      <c r="N2498" t="str">
        <f t="shared" ref="N2498:N2561" si="384">"Centre de Santé"</f>
        <v>Centre de Santé</v>
      </c>
      <c r="O2498" t="str">
        <f>"41"</f>
        <v>41</v>
      </c>
      <c r="P2498" t="str">
        <f>"Régime Spécial de Sécurité Sociale"</f>
        <v>Régime Spécial de Sécurité Sociale</v>
      </c>
      <c r="Q2498" t="str">
        <f t="shared" si="381"/>
        <v>36</v>
      </c>
      <c r="R2498" t="str">
        <f t="shared" si="382"/>
        <v>Tarifs conventionnels assurance maladie</v>
      </c>
      <c r="U2498" t="str">
        <f>"750050759"</f>
        <v>750050759</v>
      </c>
    </row>
    <row r="2499" spans="1:21" x14ac:dyDescent="0.3">
      <c r="A2499" t="str">
        <f>"620111971"</f>
        <v>620111971</v>
      </c>
      <c r="B2499" t="str">
        <f>"775 685 316 01627"</f>
        <v>775 685 316 01627</v>
      </c>
      <c r="D2499" t="str">
        <f>"CSD FILIERIS LENS LA BASSÉE"</f>
        <v>CSD FILIERIS LENS LA BASSÉE</v>
      </c>
      <c r="F2499" t="str">
        <f>"57 ROUTE DE LA BASSEE"</f>
        <v>57 ROUTE DE LA BASSEE</v>
      </c>
      <c r="H2499" t="str">
        <f>"62300"</f>
        <v>62300</v>
      </c>
      <c r="I2499" t="str">
        <f>"LENS"</f>
        <v>LENS</v>
      </c>
      <c r="J2499" t="str">
        <f>"03 21 13 05 42 "</f>
        <v xml:space="preserve">03 21 13 05 42 </v>
      </c>
      <c r="L2499" s="1">
        <v>33994</v>
      </c>
      <c r="M2499" t="str">
        <f t="shared" si="383"/>
        <v>124</v>
      </c>
      <c r="N2499" t="str">
        <f t="shared" si="384"/>
        <v>Centre de Santé</v>
      </c>
      <c r="O2499" t="str">
        <f>"41"</f>
        <v>41</v>
      </c>
      <c r="P2499" t="str">
        <f>"Régime Spécial de Sécurité Sociale"</f>
        <v>Régime Spécial de Sécurité Sociale</v>
      </c>
      <c r="Q2499" t="str">
        <f t="shared" si="381"/>
        <v>36</v>
      </c>
      <c r="R2499" t="str">
        <f t="shared" si="382"/>
        <v>Tarifs conventionnels assurance maladie</v>
      </c>
      <c r="U2499" t="str">
        <f>"750050759"</f>
        <v>750050759</v>
      </c>
    </row>
    <row r="2500" spans="1:21" x14ac:dyDescent="0.3">
      <c r="A2500" t="str">
        <f>"620108324"</f>
        <v>620108324</v>
      </c>
      <c r="B2500" t="str">
        <f>"775 685 316 01395"</f>
        <v>775 685 316 01395</v>
      </c>
      <c r="D2500" t="str">
        <f>"CSD FILIERIS DE LIÉVIN"</f>
        <v>CSD FILIERIS DE LIÉVIN</v>
      </c>
      <c r="F2500" t="str">
        <f>"38 RUE JULES BEDART"</f>
        <v>38 RUE JULES BEDART</v>
      </c>
      <c r="H2500" t="str">
        <f>"62800"</f>
        <v>62800</v>
      </c>
      <c r="I2500" t="str">
        <f>"LIEVIN"</f>
        <v>LIEVIN</v>
      </c>
      <c r="J2500" t="str">
        <f>"03 21 44 05 13 "</f>
        <v xml:space="preserve">03 21 44 05 13 </v>
      </c>
      <c r="L2500" s="1">
        <v>33974</v>
      </c>
      <c r="M2500" t="str">
        <f t="shared" si="383"/>
        <v>124</v>
      </c>
      <c r="N2500" t="str">
        <f t="shared" si="384"/>
        <v>Centre de Santé</v>
      </c>
      <c r="O2500" t="str">
        <f>"41"</f>
        <v>41</v>
      </c>
      <c r="P2500" t="str">
        <f>"Régime Spécial de Sécurité Sociale"</f>
        <v>Régime Spécial de Sécurité Sociale</v>
      </c>
      <c r="Q2500" t="str">
        <f t="shared" si="381"/>
        <v>36</v>
      </c>
      <c r="R2500" t="str">
        <f t="shared" si="382"/>
        <v>Tarifs conventionnels assurance maladie</v>
      </c>
      <c r="U2500" t="str">
        <f>"750050759"</f>
        <v>750050759</v>
      </c>
    </row>
    <row r="2501" spans="1:21" x14ac:dyDescent="0.3">
      <c r="A2501" t="str">
        <f>"620108530"</f>
        <v>620108530</v>
      </c>
      <c r="B2501" t="str">
        <f>"775 685 316 01114"</f>
        <v>775 685 316 01114</v>
      </c>
      <c r="D2501" t="str">
        <f>"CSD FILIERIS DE BRUAY"</f>
        <v>CSD FILIERIS DE BRUAY</v>
      </c>
      <c r="F2501" t="str">
        <f>"195 RUE LOUIS DUSSART"</f>
        <v>195 RUE LOUIS DUSSART</v>
      </c>
      <c r="H2501" t="str">
        <f>"62700"</f>
        <v>62700</v>
      </c>
      <c r="I2501" t="str">
        <f>"BRUAY LA BUISSIERE"</f>
        <v>BRUAY LA BUISSIERE</v>
      </c>
      <c r="J2501" t="str">
        <f>"03 21 61 61 70 "</f>
        <v xml:space="preserve">03 21 61 61 70 </v>
      </c>
      <c r="L2501" s="1">
        <v>33974</v>
      </c>
      <c r="M2501" t="str">
        <f t="shared" si="383"/>
        <v>124</v>
      </c>
      <c r="N2501" t="str">
        <f t="shared" si="384"/>
        <v>Centre de Santé</v>
      </c>
      <c r="O2501" t="str">
        <f>"41"</f>
        <v>41</v>
      </c>
      <c r="P2501" t="str">
        <f>"Régime Spécial de Sécurité Sociale"</f>
        <v>Régime Spécial de Sécurité Sociale</v>
      </c>
      <c r="Q2501" t="str">
        <f t="shared" si="381"/>
        <v>36</v>
      </c>
      <c r="R2501" t="str">
        <f t="shared" si="382"/>
        <v>Tarifs conventionnels assurance maladie</v>
      </c>
      <c r="U2501" t="str">
        <f>"750050759"</f>
        <v>750050759</v>
      </c>
    </row>
    <row r="2502" spans="1:21" x14ac:dyDescent="0.3">
      <c r="A2502" t="str">
        <f>"300004629"</f>
        <v>300004629</v>
      </c>
      <c r="B2502" t="str">
        <f>"775 761 844 01898"</f>
        <v>775 761 844 01898</v>
      </c>
      <c r="D2502" t="str">
        <f>"CENTRE DE SANTÉ OXANCE ALES"</f>
        <v>CENTRE DE SANTÉ OXANCE ALES</v>
      </c>
      <c r="E2502" t="str">
        <f>"ZAC DE LA PIERRE PLANTEE"</f>
        <v>ZAC DE LA PIERRE PLANTEE</v>
      </c>
      <c r="F2502" t="str">
        <f>"173 ROUTE DE NIMES"</f>
        <v>173 ROUTE DE NIMES</v>
      </c>
      <c r="H2502" t="str">
        <f>"30100"</f>
        <v>30100</v>
      </c>
      <c r="I2502" t="str">
        <f>"ALES"</f>
        <v>ALES</v>
      </c>
      <c r="J2502" t="str">
        <f>"04 66 78 61 12 "</f>
        <v xml:space="preserve">04 66 78 61 12 </v>
      </c>
      <c r="L2502" s="1">
        <v>33973</v>
      </c>
      <c r="M2502" t="str">
        <f t="shared" si="383"/>
        <v>124</v>
      </c>
      <c r="N2502" t="str">
        <f t="shared" si="384"/>
        <v>Centre de Santé</v>
      </c>
      <c r="O2502" t="str">
        <f>"47"</f>
        <v>47</v>
      </c>
      <c r="P2502" t="str">
        <f>"Société Mutualiste"</f>
        <v>Société Mutualiste</v>
      </c>
      <c r="Q2502" t="str">
        <f t="shared" si="381"/>
        <v>36</v>
      </c>
      <c r="R2502" t="str">
        <f t="shared" si="382"/>
        <v>Tarifs conventionnels assurance maladie</v>
      </c>
      <c r="U2502" t="str">
        <f>"690048111"</f>
        <v>690048111</v>
      </c>
    </row>
    <row r="2503" spans="1:21" x14ac:dyDescent="0.3">
      <c r="A2503" t="str">
        <f>"640797288"</f>
        <v>640797288</v>
      </c>
      <c r="B2503" t="str">
        <f>"321 485 542 00161"</f>
        <v>321 485 542 00161</v>
      </c>
      <c r="D2503" t="str">
        <f>"CENTRE DE SANTE DENTAIRE MUTUALISTE"</f>
        <v>CENTRE DE SANTE DENTAIRE MUTUALISTE</v>
      </c>
      <c r="F2503" t="str">
        <f>"238 BOULEVARD DE LA PAIX"</f>
        <v>238 BOULEVARD DE LA PAIX</v>
      </c>
      <c r="H2503" t="str">
        <f>"64000"</f>
        <v>64000</v>
      </c>
      <c r="I2503" t="str">
        <f>"PAU"</f>
        <v>PAU</v>
      </c>
      <c r="J2503" t="str">
        <f>"05 59 83 82 87 "</f>
        <v xml:space="preserve">05 59 83 82 87 </v>
      </c>
      <c r="K2503" t="str">
        <f>"05 59 83 82 99"</f>
        <v>05 59 83 82 99</v>
      </c>
      <c r="L2503" s="1">
        <v>33970</v>
      </c>
      <c r="M2503" t="str">
        <f t="shared" si="383"/>
        <v>124</v>
      </c>
      <c r="N2503" t="str">
        <f t="shared" si="384"/>
        <v>Centre de Santé</v>
      </c>
      <c r="O2503" t="str">
        <f>"47"</f>
        <v>47</v>
      </c>
      <c r="P2503" t="str">
        <f>"Société Mutualiste"</f>
        <v>Société Mutualiste</v>
      </c>
      <c r="Q2503" t="str">
        <f t="shared" si="381"/>
        <v>36</v>
      </c>
      <c r="R2503" t="str">
        <f t="shared" si="382"/>
        <v>Tarifs conventionnels assurance maladie</v>
      </c>
      <c r="U2503" t="str">
        <f>"640795555"</f>
        <v>640795555</v>
      </c>
    </row>
    <row r="2504" spans="1:21" x14ac:dyDescent="0.3">
      <c r="A2504" t="str">
        <f>"640014775"</f>
        <v>640014775</v>
      </c>
      <c r="B2504" t="str">
        <f>"443 073 242 00069"</f>
        <v>443 073 242 00069</v>
      </c>
      <c r="D2504" t="str">
        <f>"CENTRE DE SANTE DENTAIRE UGRM"</f>
        <v>CENTRE DE SANTE DENTAIRE UGRM</v>
      </c>
      <c r="F2504" t="str">
        <f>"10 RUE DU COMMERCE"</f>
        <v>10 RUE DU COMMERCE</v>
      </c>
      <c r="H2504" t="str">
        <f>"64700"</f>
        <v>64700</v>
      </c>
      <c r="I2504" t="str">
        <f>"HENDAYE"</f>
        <v>HENDAYE</v>
      </c>
      <c r="J2504" t="str">
        <f>"05 59 48 07 48 "</f>
        <v xml:space="preserve">05 59 48 07 48 </v>
      </c>
      <c r="K2504" t="str">
        <f>"05 59 20 51 25"</f>
        <v>05 59 20 51 25</v>
      </c>
      <c r="L2504" s="1">
        <v>33949</v>
      </c>
      <c r="M2504" t="str">
        <f t="shared" si="383"/>
        <v>124</v>
      </c>
      <c r="N2504" t="str">
        <f t="shared" si="384"/>
        <v>Centre de Santé</v>
      </c>
      <c r="O2504" t="str">
        <f>"47"</f>
        <v>47</v>
      </c>
      <c r="P2504" t="str">
        <f>"Société Mutualiste"</f>
        <v>Société Mutualiste</v>
      </c>
      <c r="Q2504" t="str">
        <f t="shared" si="381"/>
        <v>36</v>
      </c>
      <c r="R2504" t="str">
        <f t="shared" si="382"/>
        <v>Tarifs conventionnels assurance maladie</v>
      </c>
      <c r="U2504" t="str">
        <f>"310002985"</f>
        <v>310002985</v>
      </c>
    </row>
    <row r="2505" spans="1:21" x14ac:dyDescent="0.3">
      <c r="A2505" t="str">
        <f>"750831521"</f>
        <v>750831521</v>
      </c>
      <c r="B2505" t="str">
        <f>"217 500 016 29067"</f>
        <v>217 500 016 29067</v>
      </c>
      <c r="D2505" t="str">
        <f>"CDS DENTAIRE DE LA PORTE MONTMARTRE"</f>
        <v>CDS DENTAIRE DE LA PORTE MONTMARTRE</v>
      </c>
      <c r="F2505" t="str">
        <f>"9 RUE MAURICE GRIMAUD"</f>
        <v>9 RUE MAURICE GRIMAUD</v>
      </c>
      <c r="H2505" t="str">
        <f>"75018"</f>
        <v>75018</v>
      </c>
      <c r="I2505" t="str">
        <f>"PARIS"</f>
        <v>PARIS</v>
      </c>
      <c r="J2505" t="str">
        <f>"01 71 26 76 25 "</f>
        <v xml:space="preserve">01 71 26 76 25 </v>
      </c>
      <c r="L2505" s="1">
        <v>33917</v>
      </c>
      <c r="M2505" t="str">
        <f t="shared" si="383"/>
        <v>124</v>
      </c>
      <c r="N2505" t="str">
        <f t="shared" si="384"/>
        <v>Centre de Santé</v>
      </c>
      <c r="O2505" t="str">
        <f>"02"</f>
        <v>02</v>
      </c>
      <c r="P2505" t="str">
        <f>"Département"</f>
        <v>Département</v>
      </c>
      <c r="Q2505" t="str">
        <f t="shared" si="381"/>
        <v>36</v>
      </c>
      <c r="R2505" t="str">
        <f t="shared" si="382"/>
        <v>Tarifs conventionnels assurance maladie</v>
      </c>
      <c r="U2505" t="str">
        <f>"750002008"</f>
        <v>750002008</v>
      </c>
    </row>
    <row r="2506" spans="1:21" x14ac:dyDescent="0.3">
      <c r="A2506" t="str">
        <f>"690800453"</f>
        <v>690800453</v>
      </c>
      <c r="B2506" t="str">
        <f>"517 465 928 00086"</f>
        <v>517 465 928 00086</v>
      </c>
      <c r="D2506" t="str">
        <f>"CENTRE DE SANTE DENTAIRE PART-DIEU"</f>
        <v>CENTRE DE SANTE DENTAIRE PART-DIEU</v>
      </c>
      <c r="F2506" t="str">
        <f>"76 RUE DE LA PART-DIEU"</f>
        <v>76 RUE DE LA PART-DIEU</v>
      </c>
      <c r="H2506" t="str">
        <f>"69003"</f>
        <v>69003</v>
      </c>
      <c r="I2506" t="str">
        <f>"LYON"</f>
        <v>LYON</v>
      </c>
      <c r="J2506" t="str">
        <f>"04 72 65 52 09 "</f>
        <v xml:space="preserve">04 72 65 52 09 </v>
      </c>
      <c r="L2506" s="1">
        <v>33906</v>
      </c>
      <c r="M2506" t="str">
        <f t="shared" si="383"/>
        <v>124</v>
      </c>
      <c r="N2506" t="str">
        <f t="shared" si="384"/>
        <v>Centre de Santé</v>
      </c>
      <c r="O2506" t="str">
        <f>"40"</f>
        <v>40</v>
      </c>
      <c r="P2506" t="str">
        <f>"Régime Général de Sécurité Sociale"</f>
        <v>Régime Général de Sécurité Sociale</v>
      </c>
      <c r="Q2506" t="str">
        <f t="shared" si="381"/>
        <v>36</v>
      </c>
      <c r="R2506" t="str">
        <f t="shared" si="382"/>
        <v>Tarifs conventionnels assurance maladie</v>
      </c>
      <c r="U2506" t="str">
        <f>"690797006"</f>
        <v>690797006</v>
      </c>
    </row>
    <row r="2507" spans="1:21" x14ac:dyDescent="0.3">
      <c r="A2507" t="str">
        <f>"690800461"</f>
        <v>690800461</v>
      </c>
      <c r="B2507" t="str">
        <f>"517 465 928 00060"</f>
        <v>517 465 928 00060</v>
      </c>
      <c r="D2507" t="str">
        <f>"CENTRE DE SANTE DENTAIRE SAINT-FONS"</f>
        <v>CENTRE DE SANTE DENTAIRE SAINT-FONS</v>
      </c>
      <c r="F2507" t="str">
        <f>"19 RUE CARNOT"</f>
        <v>19 RUE CARNOT</v>
      </c>
      <c r="H2507" t="str">
        <f>"69190"</f>
        <v>69190</v>
      </c>
      <c r="I2507" t="str">
        <f>"ST FONS"</f>
        <v>ST FONS</v>
      </c>
      <c r="J2507" t="str">
        <f>"04 72 65 52 09 "</f>
        <v xml:space="preserve">04 72 65 52 09 </v>
      </c>
      <c r="L2507" s="1">
        <v>33906</v>
      </c>
      <c r="M2507" t="str">
        <f t="shared" si="383"/>
        <v>124</v>
      </c>
      <c r="N2507" t="str">
        <f t="shared" si="384"/>
        <v>Centre de Santé</v>
      </c>
      <c r="O2507" t="str">
        <f>"40"</f>
        <v>40</v>
      </c>
      <c r="P2507" t="str">
        <f>"Régime Général de Sécurité Sociale"</f>
        <v>Régime Général de Sécurité Sociale</v>
      </c>
      <c r="Q2507" t="str">
        <f t="shared" si="381"/>
        <v>36</v>
      </c>
      <c r="R2507" t="str">
        <f t="shared" si="382"/>
        <v>Tarifs conventionnels assurance maladie</v>
      </c>
      <c r="U2507" t="str">
        <f>"690797006"</f>
        <v>690797006</v>
      </c>
    </row>
    <row r="2508" spans="1:21" x14ac:dyDescent="0.3">
      <c r="A2508" t="str">
        <f>"690800479"</f>
        <v>690800479</v>
      </c>
      <c r="B2508" t="str">
        <f>"517 465 928 00094"</f>
        <v>517 465 928 00094</v>
      </c>
      <c r="D2508" t="str">
        <f>"CENTRE DE SANTE DENTAIRE VILLEURBANNE"</f>
        <v>CENTRE DE SANTE DENTAIRE VILLEURBANNE</v>
      </c>
      <c r="F2508" t="str">
        <f>"33 RUE PAUL VERLAINE"</f>
        <v>33 RUE PAUL VERLAINE</v>
      </c>
      <c r="H2508" t="str">
        <f>"69100"</f>
        <v>69100</v>
      </c>
      <c r="I2508" t="str">
        <f>"VILLEURBANNE"</f>
        <v>VILLEURBANNE</v>
      </c>
      <c r="J2508" t="str">
        <f>"04 72 65 52 09 "</f>
        <v xml:space="preserve">04 72 65 52 09 </v>
      </c>
      <c r="L2508" s="1">
        <v>33906</v>
      </c>
      <c r="M2508" t="str">
        <f t="shared" si="383"/>
        <v>124</v>
      </c>
      <c r="N2508" t="str">
        <f t="shared" si="384"/>
        <v>Centre de Santé</v>
      </c>
      <c r="O2508" t="str">
        <f>"40"</f>
        <v>40</v>
      </c>
      <c r="P2508" t="str">
        <f>"Régime Général de Sécurité Sociale"</f>
        <v>Régime Général de Sécurité Sociale</v>
      </c>
      <c r="Q2508" t="str">
        <f t="shared" si="381"/>
        <v>36</v>
      </c>
      <c r="R2508" t="str">
        <f t="shared" si="382"/>
        <v>Tarifs conventionnels assurance maladie</v>
      </c>
      <c r="U2508" t="str">
        <f>"690797006"</f>
        <v>690797006</v>
      </c>
    </row>
    <row r="2509" spans="1:21" x14ac:dyDescent="0.3">
      <c r="A2509" t="str">
        <f>"540014099"</f>
        <v>540014099</v>
      </c>
      <c r="B2509" t="str">
        <f>"775 685 316 03656"</f>
        <v>775 685 316 03656</v>
      </c>
      <c r="D2509" t="str">
        <f>"CSP FILIERIS DE TUCQUEGNIEUX"</f>
        <v>CSP FILIERIS DE TUCQUEGNIEUX</v>
      </c>
      <c r="F2509" t="str">
        <f>"54 RUE DU CASTEL"</f>
        <v>54 RUE DU CASTEL</v>
      </c>
      <c r="H2509" t="str">
        <f>"54640"</f>
        <v>54640</v>
      </c>
      <c r="I2509" t="str">
        <f>"TUCQUEGNIEUX"</f>
        <v>TUCQUEGNIEUX</v>
      </c>
      <c r="J2509" t="str">
        <f>"03 82 20 55 55 "</f>
        <v xml:space="preserve">03 82 20 55 55 </v>
      </c>
      <c r="L2509" s="1">
        <v>33878</v>
      </c>
      <c r="M2509" t="str">
        <f t="shared" si="383"/>
        <v>124</v>
      </c>
      <c r="N2509" t="str">
        <f t="shared" si="384"/>
        <v>Centre de Santé</v>
      </c>
      <c r="O2509" t="str">
        <f>"41"</f>
        <v>41</v>
      </c>
      <c r="P2509" t="str">
        <f>"Régime Spécial de Sécurité Sociale"</f>
        <v>Régime Spécial de Sécurité Sociale</v>
      </c>
      <c r="Q2509" t="str">
        <f t="shared" si="381"/>
        <v>36</v>
      </c>
      <c r="R2509" t="str">
        <f t="shared" si="382"/>
        <v>Tarifs conventionnels assurance maladie</v>
      </c>
      <c r="U2509" t="str">
        <f>"750050759"</f>
        <v>750050759</v>
      </c>
    </row>
    <row r="2510" spans="1:21" x14ac:dyDescent="0.3">
      <c r="A2510" t="str">
        <f>"810101949"</f>
        <v>810101949</v>
      </c>
      <c r="B2510" t="str">
        <f>"775 711 674 00397"</f>
        <v>775 711 674 00397</v>
      </c>
      <c r="D2510" t="str">
        <f>"CTRE DENT MUT ALBI AV VERDIER"</f>
        <v>CTRE DENT MUT ALBI AV VERDIER</v>
      </c>
      <c r="F2510" t="str">
        <f>"RUE JEAN DE LA BRUYÈRE"</f>
        <v>RUE JEAN DE LA BRUYÈRE</v>
      </c>
      <c r="H2510" t="str">
        <f>"81000"</f>
        <v>81000</v>
      </c>
      <c r="I2510" t="str">
        <f>"ALBI"</f>
        <v>ALBI</v>
      </c>
      <c r="J2510" t="str">
        <f>"05 63 54 48 34 "</f>
        <v xml:space="preserve">05 63 54 48 34 </v>
      </c>
      <c r="K2510" t="str">
        <f>"05 63 49 33 42"</f>
        <v>05 63 49 33 42</v>
      </c>
      <c r="L2510" s="1">
        <v>33856</v>
      </c>
      <c r="M2510" t="str">
        <f t="shared" si="383"/>
        <v>124</v>
      </c>
      <c r="N2510" t="str">
        <f t="shared" si="384"/>
        <v>Centre de Santé</v>
      </c>
      <c r="O2510" t="str">
        <f>"47"</f>
        <v>47</v>
      </c>
      <c r="P2510" t="str">
        <f>"Société Mutualiste"</f>
        <v>Société Mutualiste</v>
      </c>
      <c r="Q2510" t="str">
        <f t="shared" si="381"/>
        <v>36</v>
      </c>
      <c r="R2510" t="str">
        <f t="shared" si="382"/>
        <v>Tarifs conventionnels assurance maladie</v>
      </c>
      <c r="U2510" t="str">
        <f>"810099903"</f>
        <v>810099903</v>
      </c>
    </row>
    <row r="2511" spans="1:21" x14ac:dyDescent="0.3">
      <c r="A2511" t="str">
        <f>"630791515"</f>
        <v>630791515</v>
      </c>
      <c r="B2511" t="str">
        <f>"775 685 316 01551"</f>
        <v>775 685 316 01551</v>
      </c>
      <c r="D2511" t="str">
        <f>"CENTRE DE SANTE FILIERIS DE MESSEIX"</f>
        <v>CENTRE DE SANTE FILIERIS DE MESSEIX</v>
      </c>
      <c r="E2511" t="str">
        <f>"LES GANNES"</f>
        <v>LES GANNES</v>
      </c>
      <c r="F2511" t="str">
        <f>"29 RUE DES MYOSOTIS"</f>
        <v>29 RUE DES MYOSOTIS</v>
      </c>
      <c r="H2511" t="str">
        <f>"63750"</f>
        <v>63750</v>
      </c>
      <c r="I2511" t="str">
        <f>"MESSEIX"</f>
        <v>MESSEIX</v>
      </c>
      <c r="J2511" t="str">
        <f>"04 73 21 19 20 "</f>
        <v xml:space="preserve">04 73 21 19 20 </v>
      </c>
      <c r="K2511" t="str">
        <f>"04 73 21 43 59"</f>
        <v>04 73 21 43 59</v>
      </c>
      <c r="L2511" s="1">
        <v>33854</v>
      </c>
      <c r="M2511" t="str">
        <f t="shared" si="383"/>
        <v>124</v>
      </c>
      <c r="N2511" t="str">
        <f t="shared" si="384"/>
        <v>Centre de Santé</v>
      </c>
      <c r="O2511" t="str">
        <f>"41"</f>
        <v>41</v>
      </c>
      <c r="P2511" t="str">
        <f>"Régime Spécial de Sécurité Sociale"</f>
        <v>Régime Spécial de Sécurité Sociale</v>
      </c>
      <c r="Q2511" t="str">
        <f t="shared" si="381"/>
        <v>36</v>
      </c>
      <c r="R2511" t="str">
        <f t="shared" si="382"/>
        <v>Tarifs conventionnels assurance maladie</v>
      </c>
      <c r="U2511" t="str">
        <f>"750050759"</f>
        <v>750050759</v>
      </c>
    </row>
    <row r="2512" spans="1:21" x14ac:dyDescent="0.3">
      <c r="A2512" t="str">
        <f>"740789953"</f>
        <v>740789953</v>
      </c>
      <c r="B2512" t="str">
        <f>"775 654 478 00269"</f>
        <v>775 654 478 00269</v>
      </c>
      <c r="D2512" t="str">
        <f>"CENTRE DE SANTE UMFMB SALLANCHES"</f>
        <v>CENTRE DE SANTE UMFMB SALLANCHES</v>
      </c>
      <c r="F2512" t="str">
        <f>"95 RUE DU MONT JOLY"</f>
        <v>95 RUE DU MONT JOLY</v>
      </c>
      <c r="H2512" t="str">
        <f>"74700"</f>
        <v>74700</v>
      </c>
      <c r="I2512" t="str">
        <f>"SALLANCHES"</f>
        <v>SALLANCHES</v>
      </c>
      <c r="J2512" t="str">
        <f>"04 50 47 92 94 "</f>
        <v xml:space="preserve">04 50 47 92 94 </v>
      </c>
      <c r="K2512" t="str">
        <f>"04 50 47 88 98"</f>
        <v>04 50 47 88 98</v>
      </c>
      <c r="L2512" s="1">
        <v>33848</v>
      </c>
      <c r="M2512" t="str">
        <f t="shared" si="383"/>
        <v>124</v>
      </c>
      <c r="N2512" t="str">
        <f t="shared" si="384"/>
        <v>Centre de Santé</v>
      </c>
      <c r="O2512" t="str">
        <f>"47"</f>
        <v>47</v>
      </c>
      <c r="P2512" t="str">
        <f>"Société Mutualiste"</f>
        <v>Société Mutualiste</v>
      </c>
      <c r="Q2512" t="str">
        <f t="shared" si="381"/>
        <v>36</v>
      </c>
      <c r="R2512" t="str">
        <f t="shared" si="382"/>
        <v>Tarifs conventionnels assurance maladie</v>
      </c>
      <c r="U2512" t="str">
        <f>"740787791"</f>
        <v>740787791</v>
      </c>
    </row>
    <row r="2513" spans="1:21" x14ac:dyDescent="0.3">
      <c r="A2513" t="str">
        <f>"090784166"</f>
        <v>090784166</v>
      </c>
      <c r="B2513" t="str">
        <f>"775 711 674 01155"</f>
        <v>775 711 674 01155</v>
      </c>
      <c r="D2513" t="str">
        <f>"CENTRE DE SANTE DENTAIRE DE FOIX"</f>
        <v>CENTRE DE SANTE DENTAIRE DE FOIX</v>
      </c>
      <c r="E2513" t="str">
        <f>"ENTREE GAUCHE"</f>
        <v>ENTREE GAUCHE</v>
      </c>
      <c r="F2513" t="str">
        <f>"ROUTE D'ESPAGNE"</f>
        <v>ROUTE D'ESPAGNE</v>
      </c>
      <c r="G2513" t="str">
        <f>"PEYSALLES D'EN HAUT"</f>
        <v>PEYSALLES D'EN HAUT</v>
      </c>
      <c r="H2513" t="str">
        <f>"09000"</f>
        <v>09000</v>
      </c>
      <c r="I2513" t="str">
        <f>"FOIX"</f>
        <v>FOIX</v>
      </c>
      <c r="J2513" t="str">
        <f>"05 34 09 34 46 "</f>
        <v xml:space="preserve">05 34 09 34 46 </v>
      </c>
      <c r="L2513" s="1">
        <v>33840</v>
      </c>
      <c r="M2513" t="str">
        <f t="shared" si="383"/>
        <v>124</v>
      </c>
      <c r="N2513" t="str">
        <f t="shared" si="384"/>
        <v>Centre de Santé</v>
      </c>
      <c r="O2513" t="str">
        <f>"47"</f>
        <v>47</v>
      </c>
      <c r="P2513" t="str">
        <f>"Société Mutualiste"</f>
        <v>Société Mutualiste</v>
      </c>
      <c r="Q2513" t="str">
        <f t="shared" si="381"/>
        <v>36</v>
      </c>
      <c r="R2513" t="str">
        <f t="shared" si="382"/>
        <v>Tarifs conventionnels assurance maladie</v>
      </c>
      <c r="U2513" t="str">
        <f>"810099903"</f>
        <v>810099903</v>
      </c>
    </row>
    <row r="2514" spans="1:21" x14ac:dyDescent="0.3">
      <c r="A2514" t="str">
        <f>"120787783"</f>
        <v>120787783</v>
      </c>
      <c r="B2514" t="str">
        <f>"775 685 316 01452"</f>
        <v>775 685 316 01452</v>
      </c>
      <c r="D2514" t="str">
        <f>"CSP FILIERIS DE DECAZEVILLE"</f>
        <v>CSP FILIERIS DE DECAZEVILLE</v>
      </c>
      <c r="F2514" t="str">
        <f>"4 PLACE CABROL"</f>
        <v>4 PLACE CABROL</v>
      </c>
      <c r="H2514" t="str">
        <f>"12300"</f>
        <v>12300</v>
      </c>
      <c r="I2514" t="str">
        <f>"DECAZEVILLE"</f>
        <v>DECAZEVILLE</v>
      </c>
      <c r="J2514" t="str">
        <f>"05 65 43 77 70 "</f>
        <v xml:space="preserve">05 65 43 77 70 </v>
      </c>
      <c r="K2514" t="str">
        <f>"05 65 43 24 11"</f>
        <v>05 65 43 24 11</v>
      </c>
      <c r="L2514" s="1">
        <v>33787</v>
      </c>
      <c r="M2514" t="str">
        <f t="shared" si="383"/>
        <v>124</v>
      </c>
      <c r="N2514" t="str">
        <f t="shared" si="384"/>
        <v>Centre de Santé</v>
      </c>
      <c r="O2514" t="str">
        <f>"41"</f>
        <v>41</v>
      </c>
      <c r="P2514" t="str">
        <f>"Régime Spécial de Sécurité Sociale"</f>
        <v>Régime Spécial de Sécurité Sociale</v>
      </c>
      <c r="Q2514" t="str">
        <f t="shared" si="381"/>
        <v>36</v>
      </c>
      <c r="R2514" t="str">
        <f t="shared" si="382"/>
        <v>Tarifs conventionnels assurance maladie</v>
      </c>
      <c r="U2514" t="str">
        <f>"750050759"</f>
        <v>750050759</v>
      </c>
    </row>
    <row r="2515" spans="1:21" x14ac:dyDescent="0.3">
      <c r="A2515" t="str">
        <f>"810004895"</f>
        <v>810004895</v>
      </c>
      <c r="B2515" t="str">
        <f>"775 685 316 00611"</f>
        <v>775 685 316 00611</v>
      </c>
      <c r="D2515" t="str">
        <f>"CSP FILIERIS D'ALBI"</f>
        <v>CSP FILIERIS D'ALBI</v>
      </c>
      <c r="F2515" t="str">
        <f>"40 AVENUE ALBERT THOMAS"</f>
        <v>40 AVENUE ALBERT THOMAS</v>
      </c>
      <c r="H2515" t="str">
        <f>"81000"</f>
        <v>81000</v>
      </c>
      <c r="I2515" t="str">
        <f>"ALBI"</f>
        <v>ALBI</v>
      </c>
      <c r="J2515" t="str">
        <f>"05 63 47 65 15 "</f>
        <v xml:space="preserve">05 63 47 65 15 </v>
      </c>
      <c r="L2515" s="1">
        <v>33787</v>
      </c>
      <c r="M2515" t="str">
        <f t="shared" si="383"/>
        <v>124</v>
      </c>
      <c r="N2515" t="str">
        <f t="shared" si="384"/>
        <v>Centre de Santé</v>
      </c>
      <c r="O2515" t="str">
        <f>"41"</f>
        <v>41</v>
      </c>
      <c r="P2515" t="str">
        <f>"Régime Spécial de Sécurité Sociale"</f>
        <v>Régime Spécial de Sécurité Sociale</v>
      </c>
      <c r="Q2515" t="str">
        <f t="shared" si="381"/>
        <v>36</v>
      </c>
      <c r="R2515" t="str">
        <f t="shared" si="382"/>
        <v>Tarifs conventionnels assurance maladie</v>
      </c>
      <c r="U2515" t="str">
        <f>"750050759"</f>
        <v>750050759</v>
      </c>
    </row>
    <row r="2516" spans="1:21" x14ac:dyDescent="0.3">
      <c r="A2516" t="str">
        <f>"810004911"</f>
        <v>810004911</v>
      </c>
      <c r="B2516" t="str">
        <f>"775 685 316 00751"</f>
        <v>775 685 316 00751</v>
      </c>
      <c r="D2516" t="str">
        <f>"CSP FILIERIS DE CARMAUX"</f>
        <v>CSP FILIERIS DE CARMAUX</v>
      </c>
      <c r="F2516" t="str">
        <f>"2 AVENUE BOULOC TORCATIS"</f>
        <v>2 AVENUE BOULOC TORCATIS</v>
      </c>
      <c r="H2516" t="str">
        <f>"81400"</f>
        <v>81400</v>
      </c>
      <c r="I2516" t="str">
        <f>"CARMAUX"</f>
        <v>CARMAUX</v>
      </c>
      <c r="J2516" t="str">
        <f>"05 63 80 10 48 "</f>
        <v xml:space="preserve">05 63 80 10 48 </v>
      </c>
      <c r="L2516" s="1">
        <v>33787</v>
      </c>
      <c r="M2516" t="str">
        <f t="shared" si="383"/>
        <v>124</v>
      </c>
      <c r="N2516" t="str">
        <f t="shared" si="384"/>
        <v>Centre de Santé</v>
      </c>
      <c r="O2516" t="str">
        <f>"41"</f>
        <v>41</v>
      </c>
      <c r="P2516" t="str">
        <f>"Régime Spécial de Sécurité Sociale"</f>
        <v>Régime Spécial de Sécurité Sociale</v>
      </c>
      <c r="Q2516" t="str">
        <f t="shared" si="381"/>
        <v>36</v>
      </c>
      <c r="R2516" t="str">
        <f t="shared" si="382"/>
        <v>Tarifs conventionnels assurance maladie</v>
      </c>
      <c r="U2516" t="str">
        <f>"750050759"</f>
        <v>750050759</v>
      </c>
    </row>
    <row r="2517" spans="1:21" x14ac:dyDescent="0.3">
      <c r="A2517" t="str">
        <f>"810102780"</f>
        <v>810102780</v>
      </c>
      <c r="B2517" t="str">
        <f>"775 711 674 00504"</f>
        <v>775 711 674 00504</v>
      </c>
      <c r="D2517" t="str">
        <f>"CENTRE DE SANTE DENTAIRE"</f>
        <v>CENTRE DE SANTE DENTAIRE</v>
      </c>
      <c r="F2517" t="str">
        <f>"2 AVENUE BOULOC TORCATIS"</f>
        <v>2 AVENUE BOULOC TORCATIS</v>
      </c>
      <c r="H2517" t="str">
        <f>"81400"</f>
        <v>81400</v>
      </c>
      <c r="I2517" t="str">
        <f>"CARMAUX"</f>
        <v>CARMAUX</v>
      </c>
      <c r="J2517" t="str">
        <f>"05 63 76 31 99 "</f>
        <v xml:space="preserve">05 63 76 31 99 </v>
      </c>
      <c r="K2517" t="str">
        <f>"05 63 36 99 72"</f>
        <v>05 63 36 99 72</v>
      </c>
      <c r="L2517" s="1">
        <v>33787</v>
      </c>
      <c r="M2517" t="str">
        <f t="shared" si="383"/>
        <v>124</v>
      </c>
      <c r="N2517" t="str">
        <f t="shared" si="384"/>
        <v>Centre de Santé</v>
      </c>
      <c r="O2517" t="str">
        <f>"47"</f>
        <v>47</v>
      </c>
      <c r="P2517" t="str">
        <f>"Société Mutualiste"</f>
        <v>Société Mutualiste</v>
      </c>
      <c r="Q2517" t="str">
        <f t="shared" si="381"/>
        <v>36</v>
      </c>
      <c r="R2517" t="str">
        <f t="shared" si="382"/>
        <v>Tarifs conventionnels assurance maladie</v>
      </c>
      <c r="U2517" t="str">
        <f>"810099903"</f>
        <v>810099903</v>
      </c>
    </row>
    <row r="2518" spans="1:21" x14ac:dyDescent="0.3">
      <c r="A2518" t="str">
        <f>"710976937"</f>
        <v>710976937</v>
      </c>
      <c r="B2518" t="str">
        <f>"778 564 369 00164"</f>
        <v>778 564 369 00164</v>
      </c>
      <c r="D2518" t="str">
        <f>"CENTRE DE SANTE DENTAIRE MUTUALISTE"</f>
        <v>CENTRE DE SANTE DENTAIRE MUTUALISTE</v>
      </c>
      <c r="F2518" t="str">
        <f>"53 PLACE MOMMESSIN"</f>
        <v>53 PLACE MOMMESSIN</v>
      </c>
      <c r="H2518" t="str">
        <f>"71850"</f>
        <v>71850</v>
      </c>
      <c r="I2518" t="str">
        <f>"CHARNAY LES MACON"</f>
        <v>CHARNAY LES MACON</v>
      </c>
      <c r="L2518" s="1">
        <v>33780</v>
      </c>
      <c r="M2518" t="str">
        <f t="shared" si="383"/>
        <v>124</v>
      </c>
      <c r="N2518" t="str">
        <f t="shared" si="384"/>
        <v>Centre de Santé</v>
      </c>
      <c r="O2518" t="str">
        <f>"47"</f>
        <v>47</v>
      </c>
      <c r="P2518" t="str">
        <f>"Société Mutualiste"</f>
        <v>Société Mutualiste</v>
      </c>
      <c r="Q2518" t="str">
        <f t="shared" si="381"/>
        <v>36</v>
      </c>
      <c r="R2518" t="str">
        <f t="shared" si="382"/>
        <v>Tarifs conventionnels assurance maladie</v>
      </c>
      <c r="U2518" t="str">
        <f>"710784109"</f>
        <v>710784109</v>
      </c>
    </row>
    <row r="2519" spans="1:21" x14ac:dyDescent="0.3">
      <c r="A2519" t="str">
        <f>"750831182"</f>
        <v>750831182</v>
      </c>
      <c r="B2519" t="str">
        <f>"750 095 903 00019"</f>
        <v>750 095 903 00019</v>
      </c>
      <c r="D2519" t="str">
        <f>"CDS MEDICAL INTERNATIONAL"</f>
        <v>CDS MEDICAL INTERNATIONAL</v>
      </c>
      <c r="F2519" t="str">
        <f>"38 QUAI DE JEMMAPES"</f>
        <v>38 QUAI DE JEMMAPES</v>
      </c>
      <c r="H2519" t="str">
        <f>"75010"</f>
        <v>75010</v>
      </c>
      <c r="I2519" t="str">
        <f>"PARIS"</f>
        <v>PARIS</v>
      </c>
      <c r="J2519" t="str">
        <f>"01 43 17 22 00 "</f>
        <v xml:space="preserve">01 43 17 22 00 </v>
      </c>
      <c r="K2519" t="str">
        <f>"01 43 17 22 15"</f>
        <v>01 43 17 22 15</v>
      </c>
      <c r="L2519" s="1">
        <v>33780</v>
      </c>
      <c r="M2519" t="str">
        <f t="shared" si="383"/>
        <v>124</v>
      </c>
      <c r="N2519" t="str">
        <f t="shared" si="384"/>
        <v>Centre de Santé</v>
      </c>
      <c r="O2519" t="str">
        <f>"60"</f>
        <v>60</v>
      </c>
      <c r="P2519" t="str">
        <f>"Association Loi 1901 non Reconnue d'Utilité Publique"</f>
        <v>Association Loi 1901 non Reconnue d'Utilité Publique</v>
      </c>
      <c r="Q2519" t="str">
        <f t="shared" si="381"/>
        <v>36</v>
      </c>
      <c r="R2519" t="str">
        <f t="shared" si="382"/>
        <v>Tarifs conventionnels assurance maladie</v>
      </c>
      <c r="U2519" t="str">
        <f>"750051641"</f>
        <v>750051641</v>
      </c>
    </row>
    <row r="2520" spans="1:21" x14ac:dyDescent="0.3">
      <c r="A2520" t="str">
        <f>"580005643"</f>
        <v>580005643</v>
      </c>
      <c r="B2520" t="str">
        <f>"775 685 316 00736"</f>
        <v>775 685 316 00736</v>
      </c>
      <c r="D2520" t="str">
        <f>"CSP FILIERIS DE LA MACHINE"</f>
        <v>CSP FILIERIS DE LA MACHINE</v>
      </c>
      <c r="F2520" t="str">
        <f>"1 BIS RUE VAILLAND COUTURIER"</f>
        <v>1 BIS RUE VAILLAND COUTURIER</v>
      </c>
      <c r="H2520" t="str">
        <f>"58260"</f>
        <v>58260</v>
      </c>
      <c r="I2520" t="str">
        <f>"LA MACHINE"</f>
        <v>LA MACHINE</v>
      </c>
      <c r="J2520" t="str">
        <f>"03 86 50 82 99 "</f>
        <v xml:space="preserve">03 86 50 82 99 </v>
      </c>
      <c r="L2520" s="1">
        <v>33764</v>
      </c>
      <c r="M2520" t="str">
        <f t="shared" si="383"/>
        <v>124</v>
      </c>
      <c r="N2520" t="str">
        <f t="shared" si="384"/>
        <v>Centre de Santé</v>
      </c>
      <c r="O2520" t="str">
        <f>"41"</f>
        <v>41</v>
      </c>
      <c r="P2520" t="str">
        <f>"Régime Spécial de Sécurité Sociale"</f>
        <v>Régime Spécial de Sécurité Sociale</v>
      </c>
      <c r="Q2520" t="str">
        <f t="shared" si="381"/>
        <v>36</v>
      </c>
      <c r="R2520" t="str">
        <f t="shared" si="382"/>
        <v>Tarifs conventionnels assurance maladie</v>
      </c>
      <c r="U2520" t="str">
        <f>"750050759"</f>
        <v>750050759</v>
      </c>
    </row>
    <row r="2521" spans="1:21" x14ac:dyDescent="0.3">
      <c r="A2521" t="str">
        <f>"780825915"</f>
        <v>780825915</v>
      </c>
      <c r="B2521" t="str">
        <f>"751 068 545 00118"</f>
        <v>751 068 545 00118</v>
      </c>
      <c r="D2521" t="str">
        <f>"CDS DENTAIRE MANTES LA JOLIE"</f>
        <v>CDS DENTAIRE MANTES LA JOLIE</v>
      </c>
      <c r="F2521" t="str">
        <f>"3 RUE HENRI RIVIERE"</f>
        <v>3 RUE HENRI RIVIERE</v>
      </c>
      <c r="H2521" t="str">
        <f>"78200"</f>
        <v>78200</v>
      </c>
      <c r="I2521" t="str">
        <f>"MANTES LA JOLIE"</f>
        <v>MANTES LA JOLIE</v>
      </c>
      <c r="J2521" t="str">
        <f>"01 30 94 55 88 "</f>
        <v xml:space="preserve">01 30 94 55 88 </v>
      </c>
      <c r="K2521" t="str">
        <f>"01 34 78 40 77"</f>
        <v>01 34 78 40 77</v>
      </c>
      <c r="L2521" s="1">
        <v>33758</v>
      </c>
      <c r="M2521" t="str">
        <f t="shared" si="383"/>
        <v>124</v>
      </c>
      <c r="N2521" t="str">
        <f t="shared" si="384"/>
        <v>Centre de Santé</v>
      </c>
      <c r="O2521" t="str">
        <f>"60"</f>
        <v>60</v>
      </c>
      <c r="P2521" t="str">
        <f>"Association Loi 1901 non Reconnue d'Utilité Publique"</f>
        <v>Association Loi 1901 non Reconnue d'Utilité Publique</v>
      </c>
      <c r="Q2521" t="str">
        <f t="shared" si="381"/>
        <v>36</v>
      </c>
      <c r="R2521" t="str">
        <f t="shared" si="382"/>
        <v>Tarifs conventionnels assurance maladie</v>
      </c>
      <c r="U2521" t="str">
        <f>"750050767"</f>
        <v>750050767</v>
      </c>
    </row>
    <row r="2522" spans="1:21" x14ac:dyDescent="0.3">
      <c r="A2522" t="str">
        <f>"930817291"</f>
        <v>930817291</v>
      </c>
      <c r="B2522" t="str">
        <f>"784 809 642 00159"</f>
        <v>784 809 642 00159</v>
      </c>
      <c r="D2522" t="str">
        <f>"CDS DENTAIRE DE L UMIF"</f>
        <v>CDS DENTAIRE DE L UMIF</v>
      </c>
      <c r="F2522" t="str">
        <f>"12 ALLEE CHRISTOPHE COLOMB"</f>
        <v>12 ALLEE CHRISTOPHE COLOMB</v>
      </c>
      <c r="H2522" t="str">
        <f>"93130"</f>
        <v>93130</v>
      </c>
      <c r="I2522" t="str">
        <f>"NOISY LE SEC"</f>
        <v>NOISY LE SEC</v>
      </c>
      <c r="J2522" t="str">
        <f>"01 48 40 09 50 "</f>
        <v xml:space="preserve">01 48 40 09 50 </v>
      </c>
      <c r="K2522" t="str">
        <f>"01 49 91 01 59"</f>
        <v>01 49 91 01 59</v>
      </c>
      <c r="L2522" s="1">
        <v>33757</v>
      </c>
      <c r="M2522" t="str">
        <f t="shared" si="383"/>
        <v>124</v>
      </c>
      <c r="N2522" t="str">
        <f t="shared" si="384"/>
        <v>Centre de Santé</v>
      </c>
      <c r="O2522" t="str">
        <f>"47"</f>
        <v>47</v>
      </c>
      <c r="P2522" t="str">
        <f>"Société Mutualiste"</f>
        <v>Société Mutualiste</v>
      </c>
      <c r="Q2522" t="str">
        <f t="shared" si="381"/>
        <v>36</v>
      </c>
      <c r="R2522" t="str">
        <f t="shared" si="382"/>
        <v>Tarifs conventionnels assurance maladie</v>
      </c>
      <c r="U2522" t="str">
        <f>"750814865"</f>
        <v>750814865</v>
      </c>
    </row>
    <row r="2523" spans="1:21" x14ac:dyDescent="0.3">
      <c r="A2523" t="str">
        <f>"680014388"</f>
        <v>680014388</v>
      </c>
      <c r="B2523" t="str">
        <f>"434 111 126 00182"</f>
        <v>434 111 126 00182</v>
      </c>
      <c r="D2523" t="str">
        <f>"CENTRE DE SANTE DENTAIRE"</f>
        <v>CENTRE DE SANTE DENTAIRE</v>
      </c>
      <c r="F2523" t="str">
        <f>"64 RUE FRANKLIN"</f>
        <v>64 RUE FRANKLIN</v>
      </c>
      <c r="H2523" t="str">
        <f>"68200"</f>
        <v>68200</v>
      </c>
      <c r="I2523" t="str">
        <f>"MULHOUSE"</f>
        <v>MULHOUSE</v>
      </c>
      <c r="J2523" t="str">
        <f>"03 89 66 92 92 "</f>
        <v xml:space="preserve">03 89 66 92 92 </v>
      </c>
      <c r="K2523" t="str">
        <f>"03 89 66 93 02"</f>
        <v>03 89 66 93 02</v>
      </c>
      <c r="L2523" s="1">
        <v>33756</v>
      </c>
      <c r="M2523" t="str">
        <f t="shared" si="383"/>
        <v>124</v>
      </c>
      <c r="N2523" t="str">
        <f t="shared" si="384"/>
        <v>Centre de Santé</v>
      </c>
      <c r="O2523" t="str">
        <f>"47"</f>
        <v>47</v>
      </c>
      <c r="P2523" t="str">
        <f>"Société Mutualiste"</f>
        <v>Société Mutualiste</v>
      </c>
      <c r="Q2523" t="str">
        <f t="shared" si="381"/>
        <v>36</v>
      </c>
      <c r="R2523" t="str">
        <f t="shared" si="382"/>
        <v>Tarifs conventionnels assurance maladie</v>
      </c>
      <c r="U2523" t="str">
        <f>"670010339"</f>
        <v>670010339</v>
      </c>
    </row>
    <row r="2524" spans="1:21" x14ac:dyDescent="0.3">
      <c r="A2524" t="str">
        <f>"840012835"</f>
        <v>840012835</v>
      </c>
      <c r="B2524" t="str">
        <f>"783 204 548 00052"</f>
        <v>783 204 548 00052</v>
      </c>
      <c r="D2524" t="str">
        <f>"CDS DENTAIRE"</f>
        <v>CDS DENTAIRE</v>
      </c>
      <c r="F2524" t="str">
        <f>"439 AVENUE GEORGES CLEMENCEAU"</f>
        <v>439 AVENUE GEORGES CLEMENCEAU</v>
      </c>
      <c r="H2524" t="str">
        <f>"84300"</f>
        <v>84300</v>
      </c>
      <c r="I2524" t="str">
        <f>"CAVAILLON"</f>
        <v>CAVAILLON</v>
      </c>
      <c r="J2524" t="str">
        <f>"04 90 78 38 39 "</f>
        <v xml:space="preserve">04 90 78 38 39 </v>
      </c>
      <c r="K2524" t="str">
        <f>"04 90 89 24 65"</f>
        <v>04 90 89 24 65</v>
      </c>
      <c r="L2524" s="1">
        <v>33730</v>
      </c>
      <c r="M2524" t="str">
        <f t="shared" si="383"/>
        <v>124</v>
      </c>
      <c r="N2524" t="str">
        <f t="shared" si="384"/>
        <v>Centre de Santé</v>
      </c>
      <c r="O2524" t="str">
        <f>"47"</f>
        <v>47</v>
      </c>
      <c r="P2524" t="str">
        <f>"Société Mutualiste"</f>
        <v>Société Mutualiste</v>
      </c>
      <c r="Q2524" t="str">
        <f t="shared" si="381"/>
        <v>36</v>
      </c>
      <c r="R2524" t="str">
        <f t="shared" si="382"/>
        <v>Tarifs conventionnels assurance maladie</v>
      </c>
      <c r="U2524" t="str">
        <f>"840010144"</f>
        <v>840010144</v>
      </c>
    </row>
    <row r="2525" spans="1:21" x14ac:dyDescent="0.3">
      <c r="A2525" t="str">
        <f>"590803706"</f>
        <v>590803706</v>
      </c>
      <c r="D2525" t="str">
        <f>"CSP FILIERIS D' ANZIN"</f>
        <v>CSP FILIERIS D' ANZIN</v>
      </c>
      <c r="F2525" t="str">
        <f>"224 RUE JEAN JAURÈS"</f>
        <v>224 RUE JEAN JAURÈS</v>
      </c>
      <c r="H2525" t="str">
        <f>"59410"</f>
        <v>59410</v>
      </c>
      <c r="I2525" t="str">
        <f>"ANZIN"</f>
        <v>ANZIN</v>
      </c>
      <c r="J2525" t="str">
        <f>"03 27 36 92 22 "</f>
        <v xml:space="preserve">03 27 36 92 22 </v>
      </c>
      <c r="L2525" s="1">
        <v>33709</v>
      </c>
      <c r="M2525" t="str">
        <f t="shared" si="383"/>
        <v>124</v>
      </c>
      <c r="N2525" t="str">
        <f t="shared" si="384"/>
        <v>Centre de Santé</v>
      </c>
      <c r="O2525" t="str">
        <f>"41"</f>
        <v>41</v>
      </c>
      <c r="P2525" t="str">
        <f>"Régime Spécial de Sécurité Sociale"</f>
        <v>Régime Spécial de Sécurité Sociale</v>
      </c>
      <c r="Q2525" t="str">
        <f t="shared" si="381"/>
        <v>36</v>
      </c>
      <c r="R2525" t="str">
        <f t="shared" si="382"/>
        <v>Tarifs conventionnels assurance maladie</v>
      </c>
      <c r="U2525" t="str">
        <f>"750050759"</f>
        <v>750050759</v>
      </c>
    </row>
    <row r="2526" spans="1:21" x14ac:dyDescent="0.3">
      <c r="A2526" t="str">
        <f>"380788901"</f>
        <v>380788901</v>
      </c>
      <c r="D2526" t="str">
        <f>"CENTRE DE SANTE ADMR PT-DE-BEAUVOISIN"</f>
        <v>CENTRE DE SANTE ADMR PT-DE-BEAUVOISIN</v>
      </c>
      <c r="F2526" t="str">
        <f>"IMMEUBLE BOURG NEUF"</f>
        <v>IMMEUBLE BOURG NEUF</v>
      </c>
      <c r="H2526" t="str">
        <f>"38480"</f>
        <v>38480</v>
      </c>
      <c r="I2526" t="str">
        <f>"LE PONT DE BEAUVOISIN"</f>
        <v>LE PONT DE BEAUVOISIN</v>
      </c>
      <c r="J2526" t="str">
        <f>"04 76 32 91 08 "</f>
        <v xml:space="preserve">04 76 32 91 08 </v>
      </c>
      <c r="L2526" s="1">
        <v>33695</v>
      </c>
      <c r="M2526" t="str">
        <f t="shared" si="383"/>
        <v>124</v>
      </c>
      <c r="N2526" t="str">
        <f t="shared" si="384"/>
        <v>Centre de Santé</v>
      </c>
      <c r="O2526" t="str">
        <f>"60"</f>
        <v>60</v>
      </c>
      <c r="P2526" t="str">
        <f>"Association Loi 1901 non Reconnue d'Utilité Publique"</f>
        <v>Association Loi 1901 non Reconnue d'Utilité Publique</v>
      </c>
      <c r="Q2526" t="str">
        <f t="shared" si="381"/>
        <v>36</v>
      </c>
      <c r="R2526" t="str">
        <f t="shared" si="382"/>
        <v>Tarifs conventionnels assurance maladie</v>
      </c>
      <c r="U2526" t="str">
        <f>"380791301"</f>
        <v>380791301</v>
      </c>
    </row>
    <row r="2527" spans="1:21" x14ac:dyDescent="0.3">
      <c r="A2527" t="str">
        <f>"380789685"</f>
        <v>380789685</v>
      </c>
      <c r="B2527" t="str">
        <f>"775 685 316 02278"</f>
        <v>775 685 316 02278</v>
      </c>
      <c r="D2527" t="str">
        <f>"CENTRE DE SANTE FILIERIS DE LA MOTTE"</f>
        <v>CENTRE DE SANTE FILIERIS DE LA MOTTE</v>
      </c>
      <c r="F2527" t="str">
        <f>""</f>
        <v/>
      </c>
      <c r="G2527" t="str">
        <f>"LE PONTET"</f>
        <v>LE PONTET</v>
      </c>
      <c r="H2527" t="str">
        <f>"38770"</f>
        <v>38770</v>
      </c>
      <c r="I2527" t="str">
        <f>"LA MOTTE D AVEILLANS"</f>
        <v>LA MOTTE D AVEILLANS</v>
      </c>
      <c r="J2527" t="str">
        <f>"04 76 30 77 50 "</f>
        <v xml:space="preserve">04 76 30 77 50 </v>
      </c>
      <c r="L2527" s="1">
        <v>33689</v>
      </c>
      <c r="M2527" t="str">
        <f t="shared" si="383"/>
        <v>124</v>
      </c>
      <c r="N2527" t="str">
        <f t="shared" si="384"/>
        <v>Centre de Santé</v>
      </c>
      <c r="O2527" t="str">
        <f>"41"</f>
        <v>41</v>
      </c>
      <c r="P2527" t="str">
        <f>"Régime Spécial de Sécurité Sociale"</f>
        <v>Régime Spécial de Sécurité Sociale</v>
      </c>
      <c r="Q2527" t="str">
        <f t="shared" si="381"/>
        <v>36</v>
      </c>
      <c r="R2527" t="str">
        <f t="shared" si="382"/>
        <v>Tarifs conventionnels assurance maladie</v>
      </c>
      <c r="U2527" t="str">
        <f>"750050759"</f>
        <v>750050759</v>
      </c>
    </row>
    <row r="2528" spans="1:21" x14ac:dyDescent="0.3">
      <c r="A2528" t="str">
        <f>"670782200"</f>
        <v>670782200</v>
      </c>
      <c r="B2528" t="str">
        <f>"381 330 521 00026"</f>
        <v>381 330 521 00026</v>
      </c>
      <c r="D2528" t="str">
        <f>"CTRE DE SOINS INFIRMIERS SCHIRMECK"</f>
        <v>CTRE DE SOINS INFIRMIERS SCHIRMECK</v>
      </c>
      <c r="F2528" t="str">
        <f>"10 RUE DES FORGES"</f>
        <v>10 RUE DES FORGES</v>
      </c>
      <c r="H2528" t="str">
        <f>"67130"</f>
        <v>67130</v>
      </c>
      <c r="I2528" t="str">
        <f>"SCHIRMECK"</f>
        <v>SCHIRMECK</v>
      </c>
      <c r="J2528" t="str">
        <f>"03 88 97 01 41 "</f>
        <v xml:space="preserve">03 88 97 01 41 </v>
      </c>
      <c r="L2528" s="1">
        <v>33660</v>
      </c>
      <c r="M2528" t="str">
        <f t="shared" si="383"/>
        <v>124</v>
      </c>
      <c r="N2528" t="str">
        <f t="shared" si="384"/>
        <v>Centre de Santé</v>
      </c>
      <c r="O2528" t="str">
        <f>"62"</f>
        <v>62</v>
      </c>
      <c r="P2528" t="str">
        <f>"Association de Droit Local"</f>
        <v>Association de Droit Local</v>
      </c>
      <c r="Q2528" t="str">
        <f t="shared" si="381"/>
        <v>36</v>
      </c>
      <c r="R2528" t="str">
        <f t="shared" si="382"/>
        <v>Tarifs conventionnels assurance maladie</v>
      </c>
      <c r="U2528" t="str">
        <f>"670797570"</f>
        <v>670797570</v>
      </c>
    </row>
    <row r="2529" spans="1:21" x14ac:dyDescent="0.3">
      <c r="A2529" t="str">
        <f>"840012793"</f>
        <v>840012793</v>
      </c>
      <c r="D2529" t="str">
        <f>"CDS DENTAIRE"</f>
        <v>CDS DENTAIRE</v>
      </c>
      <c r="E2529" t="str">
        <f>"LE CONCORDE - CENTRE AFF CAP SUD"</f>
        <v>LE CONCORDE - CENTRE AFF CAP SUD</v>
      </c>
      <c r="F2529" t="str">
        <f>"355 AVENUE SEGHERS"</f>
        <v>355 AVENUE SEGHERS</v>
      </c>
      <c r="H2529" t="str">
        <f>"84000"</f>
        <v>84000</v>
      </c>
      <c r="I2529" t="str">
        <f>"AVIGNON"</f>
        <v>AVIGNON</v>
      </c>
      <c r="J2529" t="str">
        <f>"04 90 87 77 99 "</f>
        <v xml:space="preserve">04 90 87 77 99 </v>
      </c>
      <c r="L2529" s="1">
        <v>33647</v>
      </c>
      <c r="M2529" t="str">
        <f t="shared" si="383"/>
        <v>124</v>
      </c>
      <c r="N2529" t="str">
        <f t="shared" si="384"/>
        <v>Centre de Santé</v>
      </c>
      <c r="O2529" t="str">
        <f>"47"</f>
        <v>47</v>
      </c>
      <c r="P2529" t="str">
        <f>"Société Mutualiste"</f>
        <v>Société Mutualiste</v>
      </c>
      <c r="Q2529" t="str">
        <f t="shared" si="381"/>
        <v>36</v>
      </c>
      <c r="R2529" t="str">
        <f t="shared" si="382"/>
        <v>Tarifs conventionnels assurance maladie</v>
      </c>
      <c r="U2529" t="str">
        <f>"690048111"</f>
        <v>690048111</v>
      </c>
    </row>
    <row r="2530" spans="1:21" x14ac:dyDescent="0.3">
      <c r="A2530" t="str">
        <f>"620117846"</f>
        <v>620117846</v>
      </c>
      <c r="B2530" t="str">
        <f>"385 030 994 00011"</f>
        <v>385 030 994 00011</v>
      </c>
      <c r="D2530" t="str">
        <f>"CENTRE DE SOINS INFIRMIERS"</f>
        <v>CENTRE DE SOINS INFIRMIERS</v>
      </c>
      <c r="F2530" t="str">
        <f>"303 RUE CARNOT"</f>
        <v>303 RUE CARNOT</v>
      </c>
      <c r="H2530" t="str">
        <f>"62480"</f>
        <v>62480</v>
      </c>
      <c r="I2530" t="str">
        <f>"LE PORTEL"</f>
        <v>LE PORTEL</v>
      </c>
      <c r="J2530" t="str">
        <f>"03 21 31 68 10 "</f>
        <v xml:space="preserve">03 21 31 68 10 </v>
      </c>
      <c r="L2530" s="1">
        <v>33642</v>
      </c>
      <c r="M2530" t="str">
        <f t="shared" si="383"/>
        <v>124</v>
      </c>
      <c r="N2530" t="str">
        <f t="shared" si="384"/>
        <v>Centre de Santé</v>
      </c>
      <c r="O2530" t="str">
        <f>"60"</f>
        <v>60</v>
      </c>
      <c r="P2530" t="str">
        <f>"Association Loi 1901 non Reconnue d'Utilité Publique"</f>
        <v>Association Loi 1901 non Reconnue d'Utilité Publique</v>
      </c>
      <c r="Q2530" t="str">
        <f t="shared" si="381"/>
        <v>36</v>
      </c>
      <c r="R2530" t="str">
        <f t="shared" si="382"/>
        <v>Tarifs conventionnels assurance maladie</v>
      </c>
      <c r="U2530" t="str">
        <f>"620002790"</f>
        <v>620002790</v>
      </c>
    </row>
    <row r="2531" spans="1:21" x14ac:dyDescent="0.3">
      <c r="A2531" t="str">
        <f>"620004713"</f>
        <v>620004713</v>
      </c>
      <c r="B2531" t="str">
        <f>"783 911 944 00073"</f>
        <v>783 911 944 00073</v>
      </c>
      <c r="D2531" t="str">
        <f>"CENTRE DE SANTE DENTAIRE CPAM D'ARRAS"</f>
        <v>CENTRE DE SANTE DENTAIRE CPAM D'ARRAS</v>
      </c>
      <c r="F2531" t="str">
        <f>"11 BOULEVARD DU PRESIDENT ALLENDE"</f>
        <v>11 BOULEVARD DU PRESIDENT ALLENDE</v>
      </c>
      <c r="H2531" t="str">
        <f>"62000"</f>
        <v>62000</v>
      </c>
      <c r="I2531" t="str">
        <f>"ARRAS"</f>
        <v>ARRAS</v>
      </c>
      <c r="J2531" t="str">
        <f>"03 21 22 95 99 "</f>
        <v xml:space="preserve">03 21 22 95 99 </v>
      </c>
      <c r="L2531" s="1">
        <v>33638</v>
      </c>
      <c r="M2531" t="str">
        <f t="shared" si="383"/>
        <v>124</v>
      </c>
      <c r="N2531" t="str">
        <f t="shared" si="384"/>
        <v>Centre de Santé</v>
      </c>
      <c r="O2531" t="str">
        <f>"40"</f>
        <v>40</v>
      </c>
      <c r="P2531" t="str">
        <f>"Régime Général de Sécurité Sociale"</f>
        <v>Régime Général de Sécurité Sociale</v>
      </c>
      <c r="Q2531" t="str">
        <f t="shared" si="381"/>
        <v>36</v>
      </c>
      <c r="R2531" t="str">
        <f t="shared" si="382"/>
        <v>Tarifs conventionnels assurance maladie</v>
      </c>
      <c r="U2531" t="str">
        <f>"620004705"</f>
        <v>620004705</v>
      </c>
    </row>
    <row r="2532" spans="1:21" x14ac:dyDescent="0.3">
      <c r="A2532" t="str">
        <f>"330802380"</f>
        <v>330802380</v>
      </c>
      <c r="D2532" t="str">
        <f>"CENTRE DE SANTE DENTAIRE EMERAUDE"</f>
        <v>CENTRE DE SANTE DENTAIRE EMERAUDE</v>
      </c>
      <c r="F2532" t="str">
        <f>"61 RUE CAMILLE PELLETAN"</f>
        <v>61 RUE CAMILLE PELLETAN</v>
      </c>
      <c r="H2532" t="str">
        <f>"33150"</f>
        <v>33150</v>
      </c>
      <c r="I2532" t="str">
        <f>"CENON"</f>
        <v>CENON</v>
      </c>
      <c r="J2532" t="str">
        <f>"05 57 80 30 99 "</f>
        <v xml:space="preserve">05 57 80 30 99 </v>
      </c>
      <c r="K2532" t="str">
        <f>"05 56 11 54 55"</f>
        <v>05 56 11 54 55</v>
      </c>
      <c r="L2532" s="1">
        <v>33605</v>
      </c>
      <c r="M2532" t="str">
        <f t="shared" si="383"/>
        <v>124</v>
      </c>
      <c r="N2532" t="str">
        <f t="shared" si="384"/>
        <v>Centre de Santé</v>
      </c>
      <c r="O2532" t="str">
        <f>"40"</f>
        <v>40</v>
      </c>
      <c r="P2532" t="str">
        <f>"Régime Général de Sécurité Sociale"</f>
        <v>Régime Général de Sécurité Sociale</v>
      </c>
      <c r="Q2532" t="str">
        <f t="shared" ref="Q2532:Q2597" si="385">"36"</f>
        <v>36</v>
      </c>
      <c r="R2532" t="str">
        <f t="shared" ref="R2532:R2597" si="386">"Tarifs conventionnels assurance maladie"</f>
        <v>Tarifs conventionnels assurance maladie</v>
      </c>
      <c r="U2532" t="str">
        <f>"330782939"</f>
        <v>330782939</v>
      </c>
    </row>
    <row r="2533" spans="1:21" x14ac:dyDescent="0.3">
      <c r="A2533" t="str">
        <f>"330054966"</f>
        <v>330054966</v>
      </c>
      <c r="B2533" t="str">
        <f>"334 793 346 00027"</f>
        <v>334 793 346 00027</v>
      </c>
      <c r="D2533" t="str">
        <f>"CENTRE DE SANTE INFIRMIER"</f>
        <v>CENTRE DE SANTE INFIRMIER</v>
      </c>
      <c r="F2533" t="str">
        <f>"412 AVENUE DE VERDUN"</f>
        <v>412 AVENUE DE VERDUN</v>
      </c>
      <c r="H2533" t="str">
        <f>"33700"</f>
        <v>33700</v>
      </c>
      <c r="I2533" t="str">
        <f>"MERIGNAC"</f>
        <v>MERIGNAC</v>
      </c>
      <c r="J2533" t="str">
        <f>"05 56 55 04 38 "</f>
        <v xml:space="preserve">05 56 55 04 38 </v>
      </c>
      <c r="K2533" t="str">
        <f>"05 56 97 93 69"</f>
        <v>05 56 97 93 69</v>
      </c>
      <c r="L2533" s="1">
        <v>33604</v>
      </c>
      <c r="M2533" t="str">
        <f t="shared" si="383"/>
        <v>124</v>
      </c>
      <c r="N2533" t="str">
        <f t="shared" si="384"/>
        <v>Centre de Santé</v>
      </c>
      <c r="O2533" t="str">
        <f>"60"</f>
        <v>60</v>
      </c>
      <c r="P2533" t="str">
        <f>"Association Loi 1901 non Reconnue d'Utilité Publique"</f>
        <v>Association Loi 1901 non Reconnue d'Utilité Publique</v>
      </c>
      <c r="Q2533" t="str">
        <f t="shared" si="385"/>
        <v>36</v>
      </c>
      <c r="R2533" t="str">
        <f t="shared" si="386"/>
        <v>Tarifs conventionnels assurance maladie</v>
      </c>
      <c r="U2533" t="str">
        <f>"330054941"</f>
        <v>330054941</v>
      </c>
    </row>
    <row r="2534" spans="1:21" x14ac:dyDescent="0.3">
      <c r="A2534" t="str">
        <f>"570003939"</f>
        <v>570003939</v>
      </c>
      <c r="B2534" t="str">
        <f>"775 685 316 03532"</f>
        <v>775 685 316 03532</v>
      </c>
      <c r="D2534" t="str">
        <f>"CSP FILIERIS DE ST AVOLD"</f>
        <v>CSP FILIERIS DE ST AVOLD</v>
      </c>
      <c r="F2534" t="str">
        <f>"1 RUE BRACK"</f>
        <v>1 RUE BRACK</v>
      </c>
      <c r="H2534" t="str">
        <f>"57500"</f>
        <v>57500</v>
      </c>
      <c r="I2534" t="str">
        <f>"ST AVOLD"</f>
        <v>ST AVOLD</v>
      </c>
      <c r="J2534" t="str">
        <f>"03 87 92 70 08 "</f>
        <v xml:space="preserve">03 87 92 70 08 </v>
      </c>
      <c r="K2534" t="str">
        <f>"03 87 94 59 38"</f>
        <v>03 87 94 59 38</v>
      </c>
      <c r="L2534" s="1">
        <v>33604</v>
      </c>
      <c r="M2534" t="str">
        <f t="shared" si="383"/>
        <v>124</v>
      </c>
      <c r="N2534" t="str">
        <f t="shared" si="384"/>
        <v>Centre de Santé</v>
      </c>
      <c r="O2534" t="str">
        <f>"41"</f>
        <v>41</v>
      </c>
      <c r="P2534" t="str">
        <f>"Régime Spécial de Sécurité Sociale"</f>
        <v>Régime Spécial de Sécurité Sociale</v>
      </c>
      <c r="Q2534" t="str">
        <f t="shared" si="385"/>
        <v>36</v>
      </c>
      <c r="R2534" t="str">
        <f t="shared" si="386"/>
        <v>Tarifs conventionnels assurance maladie</v>
      </c>
      <c r="U2534" t="str">
        <f>"750050759"</f>
        <v>750050759</v>
      </c>
    </row>
    <row r="2535" spans="1:21" x14ac:dyDescent="0.3">
      <c r="A2535" t="str">
        <f>"660007337"</f>
        <v>660007337</v>
      </c>
      <c r="B2535" t="str">
        <f>"776 150 005 00028"</f>
        <v>776 150 005 00028</v>
      </c>
      <c r="D2535" t="str">
        <f>"CDS INFIRMIER ESTAGEL"</f>
        <v>CDS INFIRMIER ESTAGEL</v>
      </c>
      <c r="F2535" t="str">
        <f>"23 AVENUE DU DOCTEUR TORREILLES"</f>
        <v>23 AVENUE DU DOCTEUR TORREILLES</v>
      </c>
      <c r="H2535" t="str">
        <f>"66310"</f>
        <v>66310</v>
      </c>
      <c r="I2535" t="str">
        <f>"ESTAGEL"</f>
        <v>ESTAGEL</v>
      </c>
      <c r="J2535" t="str">
        <f>"04 68 29 01 00 "</f>
        <v xml:space="preserve">04 68 29 01 00 </v>
      </c>
      <c r="K2535" t="str">
        <f>"04 68 29 19 73"</f>
        <v>04 68 29 19 73</v>
      </c>
      <c r="L2535" s="1">
        <v>33581</v>
      </c>
      <c r="M2535" t="str">
        <f t="shared" si="383"/>
        <v>124</v>
      </c>
      <c r="N2535" t="str">
        <f t="shared" si="384"/>
        <v>Centre de Santé</v>
      </c>
      <c r="O2535" t="str">
        <f>"60"</f>
        <v>60</v>
      </c>
      <c r="P2535" t="str">
        <f>"Association Loi 1901 non Reconnue d'Utilité Publique"</f>
        <v>Association Loi 1901 non Reconnue d'Utilité Publique</v>
      </c>
      <c r="Q2535" t="str">
        <f t="shared" si="385"/>
        <v>36</v>
      </c>
      <c r="R2535" t="str">
        <f t="shared" si="386"/>
        <v>Tarifs conventionnels assurance maladie</v>
      </c>
      <c r="U2535" t="str">
        <f>"660007311"</f>
        <v>660007311</v>
      </c>
    </row>
    <row r="2536" spans="1:21" x14ac:dyDescent="0.3">
      <c r="A2536" t="str">
        <f>"810101964"</f>
        <v>810101964</v>
      </c>
      <c r="B2536" t="str">
        <f>"775 711 674 00165"</f>
        <v>775 711 674 00165</v>
      </c>
      <c r="D2536" t="str">
        <f>"CTRE DENT MUT SAINT-JUERY"</f>
        <v>CTRE DENT MUT SAINT-JUERY</v>
      </c>
      <c r="F2536" t="str">
        <f>"4 AVENUE ALPHONSE PACIFIQUE"</f>
        <v>4 AVENUE ALPHONSE PACIFIQUE</v>
      </c>
      <c r="H2536" t="str">
        <f>"81160"</f>
        <v>81160</v>
      </c>
      <c r="I2536" t="str">
        <f>"ST JUERY"</f>
        <v>ST JUERY</v>
      </c>
      <c r="J2536" t="str">
        <f>"05 63 55 10 80 "</f>
        <v xml:space="preserve">05 63 55 10 80 </v>
      </c>
      <c r="L2536" s="1">
        <v>33535</v>
      </c>
      <c r="M2536" t="str">
        <f t="shared" si="383"/>
        <v>124</v>
      </c>
      <c r="N2536" t="str">
        <f t="shared" si="384"/>
        <v>Centre de Santé</v>
      </c>
      <c r="O2536" t="str">
        <f>"47"</f>
        <v>47</v>
      </c>
      <c r="P2536" t="str">
        <f>"Société Mutualiste"</f>
        <v>Société Mutualiste</v>
      </c>
      <c r="Q2536" t="str">
        <f t="shared" si="385"/>
        <v>36</v>
      </c>
      <c r="R2536" t="str">
        <f t="shared" si="386"/>
        <v>Tarifs conventionnels assurance maladie</v>
      </c>
      <c r="U2536" t="str">
        <f>"810099903"</f>
        <v>810099903</v>
      </c>
    </row>
    <row r="2537" spans="1:21" x14ac:dyDescent="0.3">
      <c r="A2537" t="str">
        <f>"270013444"</f>
        <v>270013444</v>
      </c>
      <c r="B2537" t="str">
        <f>"794 994 277 01263"</f>
        <v>794 994 277 01263</v>
      </c>
      <c r="D2537" t="str">
        <f>"CTRE SANTE DENTAIRE MUTUALISTE VERNON"</f>
        <v>CTRE SANTE DENTAIRE MUTUALISTE VERNON</v>
      </c>
      <c r="F2537" t="str">
        <f>"11 RUE DU PARC"</f>
        <v>11 RUE DU PARC</v>
      </c>
      <c r="H2537" t="str">
        <f>"27200"</f>
        <v>27200</v>
      </c>
      <c r="I2537" t="str">
        <f>"VERNON"</f>
        <v>VERNON</v>
      </c>
      <c r="J2537" t="str">
        <f>"02 32 21 52 25 "</f>
        <v xml:space="preserve">02 32 21 52 25 </v>
      </c>
      <c r="K2537" t="str">
        <f>"02 32 21 17 17"</f>
        <v>02 32 21 17 17</v>
      </c>
      <c r="L2537" s="1">
        <v>33484</v>
      </c>
      <c r="M2537" t="str">
        <f t="shared" si="383"/>
        <v>124</v>
      </c>
      <c r="N2537" t="str">
        <f t="shared" si="384"/>
        <v>Centre de Santé</v>
      </c>
      <c r="O2537" t="str">
        <f>"47"</f>
        <v>47</v>
      </c>
      <c r="P2537" t="str">
        <f>"Société Mutualiste"</f>
        <v>Société Mutualiste</v>
      </c>
      <c r="Q2537" t="str">
        <f t="shared" si="385"/>
        <v>36</v>
      </c>
      <c r="R2537" t="str">
        <f t="shared" si="386"/>
        <v>Tarifs conventionnels assurance maladie</v>
      </c>
      <c r="U2537" t="str">
        <f>"760000539"</f>
        <v>760000539</v>
      </c>
    </row>
    <row r="2538" spans="1:21" x14ac:dyDescent="0.3">
      <c r="A2538" t="str">
        <f>"310016902"</f>
        <v>310016902</v>
      </c>
      <c r="B2538" t="str">
        <f>"775 581 226 00807"</f>
        <v>775 581 226 00807</v>
      </c>
      <c r="D2538" t="str">
        <f>"CENTRE D'AUDIO-PHONOLOGIE"</f>
        <v>CENTRE D'AUDIO-PHONOLOGIE</v>
      </c>
      <c r="E2538" t="str">
        <f>"BAT 12"</f>
        <v>BAT 12</v>
      </c>
      <c r="F2538" t="str">
        <f>"26 AVENUE TOLOSANE"</f>
        <v>26 AVENUE TOLOSANE</v>
      </c>
      <c r="H2538" t="str">
        <f>"31520"</f>
        <v>31520</v>
      </c>
      <c r="I2538" t="str">
        <f>"RAMONVILLE ST AGNE"</f>
        <v>RAMONVILLE ST AGNE</v>
      </c>
      <c r="J2538" t="str">
        <f>"05 62 19 29 30 "</f>
        <v xml:space="preserve">05 62 19 29 30 </v>
      </c>
      <c r="K2538" t="str">
        <f>"05 62 19 29 22"</f>
        <v>05 62 19 29 22</v>
      </c>
      <c r="L2538" s="1">
        <v>33434</v>
      </c>
      <c r="M2538" t="str">
        <f t="shared" si="383"/>
        <v>124</v>
      </c>
      <c r="N2538" t="str">
        <f t="shared" si="384"/>
        <v>Centre de Santé</v>
      </c>
      <c r="O2538" t="str">
        <f>"61"</f>
        <v>61</v>
      </c>
      <c r="P2538" t="str">
        <f>"Association Loi 1901 Reconnue d'Utilité Publique"</f>
        <v>Association Loi 1901 Reconnue d'Utilité Publique</v>
      </c>
      <c r="Q2538" t="str">
        <f t="shared" si="385"/>
        <v>36</v>
      </c>
      <c r="R2538" t="str">
        <f t="shared" si="386"/>
        <v>Tarifs conventionnels assurance maladie</v>
      </c>
      <c r="U2538" t="str">
        <f>"310781562"</f>
        <v>310781562</v>
      </c>
    </row>
    <row r="2539" spans="1:21" x14ac:dyDescent="0.3">
      <c r="A2539" t="str">
        <f>"310795281"</f>
        <v>310795281</v>
      </c>
      <c r="B2539" t="str">
        <f>"776 950 529 00144"</f>
        <v>776 950 529 00144</v>
      </c>
      <c r="D2539" t="str">
        <f>"CENTRE DE SOINS DENTAIRES"</f>
        <v>CENTRE DE SOINS DENTAIRES</v>
      </c>
      <c r="F2539" t="str">
        <f>"12 RUE GILET"</f>
        <v>12 RUE GILET</v>
      </c>
      <c r="H2539" t="str">
        <f>"31770"</f>
        <v>31770</v>
      </c>
      <c r="I2539" t="str">
        <f>"COLOMIERS"</f>
        <v>COLOMIERS</v>
      </c>
      <c r="J2539" t="str">
        <f>"05 61 78 59 72 "</f>
        <v xml:space="preserve">05 61 78 59 72 </v>
      </c>
      <c r="L2539" s="1">
        <v>33403</v>
      </c>
      <c r="M2539" t="str">
        <f t="shared" si="383"/>
        <v>124</v>
      </c>
      <c r="N2539" t="str">
        <f t="shared" si="384"/>
        <v>Centre de Santé</v>
      </c>
      <c r="O2539" t="str">
        <f>"47"</f>
        <v>47</v>
      </c>
      <c r="P2539" t="str">
        <f>"Société Mutualiste"</f>
        <v>Société Mutualiste</v>
      </c>
      <c r="Q2539" t="str">
        <f t="shared" si="385"/>
        <v>36</v>
      </c>
      <c r="R2539" t="str">
        <f t="shared" si="386"/>
        <v>Tarifs conventionnels assurance maladie</v>
      </c>
      <c r="U2539" t="str">
        <f>"310788682"</f>
        <v>310788682</v>
      </c>
    </row>
    <row r="2540" spans="1:21" x14ac:dyDescent="0.3">
      <c r="A2540" t="str">
        <f>"140016767"</f>
        <v>140016767</v>
      </c>
      <c r="B2540" t="str">
        <f>"794 994 277 00067"</f>
        <v>794 994 277 00067</v>
      </c>
      <c r="D2540" t="str">
        <f>"CENTRE DE SANTE DENTAIRE - VIRE"</f>
        <v>CENTRE DE SANTE DENTAIRE - VIRE</v>
      </c>
      <c r="F2540" t="str">
        <f>"15 RUE DES REMPARTS"</f>
        <v>15 RUE DES REMPARTS</v>
      </c>
      <c r="H2540" t="str">
        <f>"14500"</f>
        <v>14500</v>
      </c>
      <c r="I2540" t="str">
        <f>"VIRE NORMANDIE"</f>
        <v>VIRE NORMANDIE</v>
      </c>
      <c r="J2540" t="str">
        <f>"02 31 67 00 89 "</f>
        <v xml:space="preserve">02 31 67 00 89 </v>
      </c>
      <c r="L2540" s="1">
        <v>33390</v>
      </c>
      <c r="M2540" t="str">
        <f t="shared" si="383"/>
        <v>124</v>
      </c>
      <c r="N2540" t="str">
        <f t="shared" si="384"/>
        <v>Centre de Santé</v>
      </c>
      <c r="O2540" t="str">
        <f>"47"</f>
        <v>47</v>
      </c>
      <c r="P2540" t="str">
        <f>"Société Mutualiste"</f>
        <v>Société Mutualiste</v>
      </c>
      <c r="Q2540" t="str">
        <f t="shared" si="385"/>
        <v>36</v>
      </c>
      <c r="R2540" t="str">
        <f t="shared" si="386"/>
        <v>Tarifs conventionnels assurance maladie</v>
      </c>
      <c r="U2540" t="str">
        <f>"760000539"</f>
        <v>760000539</v>
      </c>
    </row>
    <row r="2541" spans="1:21" x14ac:dyDescent="0.3">
      <c r="A2541" t="str">
        <f>"410005680"</f>
        <v>410005680</v>
      </c>
      <c r="B2541" t="str">
        <f>"775 347 891 00779"</f>
        <v>775 347 891 00779</v>
      </c>
      <c r="D2541" t="str">
        <f>"CENTRE DE SANTE DENTAIRE"</f>
        <v>CENTRE DE SANTE DENTAIRE</v>
      </c>
      <c r="F2541" t="str">
        <f>"6 RUE PORTE BRAULT"</f>
        <v>6 RUE PORTE BRAULT</v>
      </c>
      <c r="H2541" t="str">
        <f>"41200"</f>
        <v>41200</v>
      </c>
      <c r="I2541" t="str">
        <f>"ROMORANTIN LANTHENAY"</f>
        <v>ROMORANTIN LANTHENAY</v>
      </c>
      <c r="J2541" t="str">
        <f>"02 54 76 79 06 "</f>
        <v xml:space="preserve">02 54 76 79 06 </v>
      </c>
      <c r="K2541" t="str">
        <f>"02 54 76 15 91"</f>
        <v>02 54 76 15 91</v>
      </c>
      <c r="L2541" s="1">
        <v>33387</v>
      </c>
      <c r="M2541" t="str">
        <f t="shared" si="383"/>
        <v>124</v>
      </c>
      <c r="N2541" t="str">
        <f t="shared" si="384"/>
        <v>Centre de Santé</v>
      </c>
      <c r="O2541" t="str">
        <f>"47"</f>
        <v>47</v>
      </c>
      <c r="P2541" t="str">
        <f>"Société Mutualiste"</f>
        <v>Société Mutualiste</v>
      </c>
      <c r="Q2541" t="str">
        <f t="shared" si="385"/>
        <v>36</v>
      </c>
      <c r="R2541" t="str">
        <f t="shared" si="386"/>
        <v>Tarifs conventionnels assurance maladie</v>
      </c>
      <c r="U2541" t="str">
        <f>"370100935"</f>
        <v>370100935</v>
      </c>
    </row>
    <row r="2542" spans="1:21" x14ac:dyDescent="0.3">
      <c r="A2542" t="str">
        <f>"130809882"</f>
        <v>130809882</v>
      </c>
      <c r="B2542" t="str">
        <f>"352 098 131 00233"</f>
        <v>352 098 131 00233</v>
      </c>
      <c r="D2542" t="str">
        <f>"CDS DENTAIRE MUTUALISTE"</f>
        <v>CDS DENTAIRE MUTUALISTE</v>
      </c>
      <c r="E2542" t="str">
        <f>"TOUR  MÉDITERRANÉE"</f>
        <v>TOUR  MÉDITERRANÉE</v>
      </c>
      <c r="F2542" t="str">
        <f>"65 AVENUE CANTINI"</f>
        <v>65 AVENUE CANTINI</v>
      </c>
      <c r="H2542" t="str">
        <f>"13006"</f>
        <v>13006</v>
      </c>
      <c r="I2542" t="str">
        <f>"MARSEILLE"</f>
        <v>MARSEILLE</v>
      </c>
      <c r="J2542" t="str">
        <f>"04 91 17 40 88 "</f>
        <v xml:space="preserve">04 91 17 40 88 </v>
      </c>
      <c r="L2542" s="1">
        <v>33354</v>
      </c>
      <c r="M2542" t="str">
        <f t="shared" si="383"/>
        <v>124</v>
      </c>
      <c r="N2542" t="str">
        <f t="shared" si="384"/>
        <v>Centre de Santé</v>
      </c>
      <c r="O2542" t="str">
        <f>"47"</f>
        <v>47</v>
      </c>
      <c r="P2542" t="str">
        <f>"Société Mutualiste"</f>
        <v>Société Mutualiste</v>
      </c>
      <c r="Q2542" t="str">
        <f t="shared" si="385"/>
        <v>36</v>
      </c>
      <c r="R2542" t="str">
        <f t="shared" si="386"/>
        <v>Tarifs conventionnels assurance maladie</v>
      </c>
      <c r="U2542" t="str">
        <f>"130007032"</f>
        <v>130007032</v>
      </c>
    </row>
    <row r="2543" spans="1:21" x14ac:dyDescent="0.3">
      <c r="A2543" t="str">
        <f>"380787754"</f>
        <v>380787754</v>
      </c>
      <c r="B2543" t="str">
        <f>"382 077 097 00022"</f>
        <v>382 077 097 00022</v>
      </c>
      <c r="D2543" t="str">
        <f>"CENTRE DE SANTE AGECSA ARLEQUIN"</f>
        <v>CENTRE DE SANTE AGECSA ARLEQUIN</v>
      </c>
      <c r="F2543" t="str">
        <f>"162 GALERIE DE L'ARLEQUIN"</f>
        <v>162 GALERIE DE L'ARLEQUIN</v>
      </c>
      <c r="H2543" t="str">
        <f>"38100"</f>
        <v>38100</v>
      </c>
      <c r="I2543" t="str">
        <f>"GRENOBLE"</f>
        <v>GRENOBLE</v>
      </c>
      <c r="J2543" t="str">
        <f>"04 76 33 06 14 "</f>
        <v xml:space="preserve">04 76 33 06 14 </v>
      </c>
      <c r="K2543" t="str">
        <f>"04 76 09 36 38"</f>
        <v>04 76 09 36 38</v>
      </c>
      <c r="L2543" s="1">
        <v>33298</v>
      </c>
      <c r="M2543" t="str">
        <f t="shared" si="383"/>
        <v>124</v>
      </c>
      <c r="N2543" t="str">
        <f t="shared" si="384"/>
        <v>Centre de Santé</v>
      </c>
      <c r="O2543" t="str">
        <f>"60"</f>
        <v>60</v>
      </c>
      <c r="P2543" t="str">
        <f>"Association Loi 1901 non Reconnue d'Utilité Publique"</f>
        <v>Association Loi 1901 non Reconnue d'Utilité Publique</v>
      </c>
      <c r="Q2543" t="str">
        <f t="shared" si="385"/>
        <v>36</v>
      </c>
      <c r="R2543" t="str">
        <f t="shared" si="386"/>
        <v>Tarifs conventionnels assurance maladie</v>
      </c>
      <c r="U2543" t="str">
        <f>"380792010"</f>
        <v>380792010</v>
      </c>
    </row>
    <row r="2544" spans="1:21" x14ac:dyDescent="0.3">
      <c r="A2544" t="str">
        <f>"380787788"</f>
        <v>380787788</v>
      </c>
      <c r="B2544" t="str">
        <f>"382 077 097 00048"</f>
        <v>382 077 097 00048</v>
      </c>
      <c r="D2544" t="str">
        <f>"CENTRE DE SANTE AGECSA DES GEANTS"</f>
        <v>CENTRE DE SANTE AGECSA DES GEANTS</v>
      </c>
      <c r="F2544" t="str">
        <f>"13 PLACE DES GEANTS"</f>
        <v>13 PLACE DES GEANTS</v>
      </c>
      <c r="H2544" t="str">
        <f>"38100"</f>
        <v>38100</v>
      </c>
      <c r="I2544" t="str">
        <f>"GRENOBLE"</f>
        <v>GRENOBLE</v>
      </c>
      <c r="J2544" t="str">
        <f>"04 76 22 14 52 "</f>
        <v xml:space="preserve">04 76 22 14 52 </v>
      </c>
      <c r="K2544" t="str">
        <f>"04 76 09 03 19"</f>
        <v>04 76 09 03 19</v>
      </c>
      <c r="L2544" s="1">
        <v>33298</v>
      </c>
      <c r="M2544" t="str">
        <f t="shared" si="383"/>
        <v>124</v>
      </c>
      <c r="N2544" t="str">
        <f t="shared" si="384"/>
        <v>Centre de Santé</v>
      </c>
      <c r="O2544" t="str">
        <f>"60"</f>
        <v>60</v>
      </c>
      <c r="P2544" t="str">
        <f>"Association Loi 1901 non Reconnue d'Utilité Publique"</f>
        <v>Association Loi 1901 non Reconnue d'Utilité Publique</v>
      </c>
      <c r="Q2544" t="str">
        <f t="shared" si="385"/>
        <v>36</v>
      </c>
      <c r="R2544" t="str">
        <f t="shared" si="386"/>
        <v>Tarifs conventionnels assurance maladie</v>
      </c>
      <c r="U2544" t="str">
        <f>"380792010"</f>
        <v>380792010</v>
      </c>
    </row>
    <row r="2545" spans="1:21" x14ac:dyDescent="0.3">
      <c r="A2545" t="str">
        <f>"380787796"</f>
        <v>380787796</v>
      </c>
      <c r="B2545" t="str">
        <f>"382 077 097 00055"</f>
        <v>382 077 097 00055</v>
      </c>
      <c r="D2545" t="str">
        <f>"CENTRE DE SANTE AGECSA ABBAYE"</f>
        <v>CENTRE DE SANTE AGECSA ABBAYE</v>
      </c>
      <c r="F2545" t="str">
        <f>"28 RUE ELIE CARTAN"</f>
        <v>28 RUE ELIE CARTAN</v>
      </c>
      <c r="H2545" t="str">
        <f>"38100"</f>
        <v>38100</v>
      </c>
      <c r="I2545" t="str">
        <f>"GRENOBLE"</f>
        <v>GRENOBLE</v>
      </c>
      <c r="J2545" t="str">
        <f>"04 76 51 16 38 "</f>
        <v xml:space="preserve">04 76 51 16 38 </v>
      </c>
      <c r="K2545" t="str">
        <f>"04 76 00 00 38"</f>
        <v>04 76 00 00 38</v>
      </c>
      <c r="L2545" s="1">
        <v>33298</v>
      </c>
      <c r="M2545" t="str">
        <f t="shared" si="383"/>
        <v>124</v>
      </c>
      <c r="N2545" t="str">
        <f t="shared" si="384"/>
        <v>Centre de Santé</v>
      </c>
      <c r="O2545" t="str">
        <f>"60"</f>
        <v>60</v>
      </c>
      <c r="P2545" t="str">
        <f>"Association Loi 1901 non Reconnue d'Utilité Publique"</f>
        <v>Association Loi 1901 non Reconnue d'Utilité Publique</v>
      </c>
      <c r="Q2545" t="str">
        <f t="shared" si="385"/>
        <v>36</v>
      </c>
      <c r="R2545" t="str">
        <f t="shared" si="386"/>
        <v>Tarifs conventionnels assurance maladie</v>
      </c>
      <c r="U2545" t="str">
        <f>"380792010"</f>
        <v>380792010</v>
      </c>
    </row>
    <row r="2546" spans="1:21" x14ac:dyDescent="0.3">
      <c r="A2546" t="str">
        <f>"380791491"</f>
        <v>380791491</v>
      </c>
      <c r="B2546" t="str">
        <f>"382 077 097 00063"</f>
        <v>382 077 097 00063</v>
      </c>
      <c r="D2546" t="str">
        <f>"CENTRE DE SANTE AGECSA VIEUX TEMPLE"</f>
        <v>CENTRE DE SANTE AGECSA VIEUX TEMPLE</v>
      </c>
      <c r="F2546" t="str">
        <f>"7 RUE TRES CLOITRES"</f>
        <v>7 RUE TRES CLOITRES</v>
      </c>
      <c r="H2546" t="str">
        <f>"38000"</f>
        <v>38000</v>
      </c>
      <c r="I2546" t="str">
        <f>"GRENOBLE"</f>
        <v>GRENOBLE</v>
      </c>
      <c r="J2546" t="str">
        <f>"04 76 51 13 00 "</f>
        <v xml:space="preserve">04 76 51 13 00 </v>
      </c>
      <c r="K2546" t="str">
        <f>"04 76 03 17 98"</f>
        <v>04 76 03 17 98</v>
      </c>
      <c r="L2546" s="1">
        <v>33298</v>
      </c>
      <c r="M2546" t="str">
        <f t="shared" si="383"/>
        <v>124</v>
      </c>
      <c r="N2546" t="str">
        <f t="shared" si="384"/>
        <v>Centre de Santé</v>
      </c>
      <c r="O2546" t="str">
        <f>"60"</f>
        <v>60</v>
      </c>
      <c r="P2546" t="str">
        <f>"Association Loi 1901 non Reconnue d'Utilité Publique"</f>
        <v>Association Loi 1901 non Reconnue d'Utilité Publique</v>
      </c>
      <c r="Q2546" t="str">
        <f t="shared" si="385"/>
        <v>36</v>
      </c>
      <c r="R2546" t="str">
        <f t="shared" si="386"/>
        <v>Tarifs conventionnels assurance maladie</v>
      </c>
      <c r="U2546" t="str">
        <f>"380792010"</f>
        <v>380792010</v>
      </c>
    </row>
    <row r="2547" spans="1:21" x14ac:dyDescent="0.3">
      <c r="A2547" t="str">
        <f>"940812639"</f>
        <v>940812639</v>
      </c>
      <c r="B2547" t="str">
        <f>"384 128 500 00012"</f>
        <v>384 128 500 00012</v>
      </c>
      <c r="D2547" t="str">
        <f>"CDS MEDICAL LIBERTE"</f>
        <v>CDS MEDICAL LIBERTE</v>
      </c>
      <c r="F2547" t="str">
        <f>"41 RUE DE VERDUN"</f>
        <v>41 RUE DE VERDUN</v>
      </c>
      <c r="H2547" t="str">
        <f>"94220"</f>
        <v>94220</v>
      </c>
      <c r="I2547" t="str">
        <f>"CHARENTON LE PONT"</f>
        <v>CHARENTON LE PONT</v>
      </c>
      <c r="J2547" t="str">
        <f>"01 43 96 29 29 "</f>
        <v xml:space="preserve">01 43 96 29 29 </v>
      </c>
      <c r="K2547" t="str">
        <f>"01 43 96 97 69"</f>
        <v>01 43 96 97 69</v>
      </c>
      <c r="L2547" s="1">
        <v>33266</v>
      </c>
      <c r="M2547" t="str">
        <f t="shared" si="383"/>
        <v>124</v>
      </c>
      <c r="N2547" t="str">
        <f t="shared" si="384"/>
        <v>Centre de Santé</v>
      </c>
      <c r="O2547" t="str">
        <f>"60"</f>
        <v>60</v>
      </c>
      <c r="P2547" t="str">
        <f>"Association Loi 1901 non Reconnue d'Utilité Publique"</f>
        <v>Association Loi 1901 non Reconnue d'Utilité Publique</v>
      </c>
      <c r="Q2547" t="str">
        <f t="shared" si="385"/>
        <v>36</v>
      </c>
      <c r="R2547" t="str">
        <f t="shared" si="386"/>
        <v>Tarifs conventionnels assurance maladie</v>
      </c>
      <c r="U2547" t="str">
        <f>"940001860"</f>
        <v>940001860</v>
      </c>
    </row>
    <row r="2548" spans="1:21" x14ac:dyDescent="0.3">
      <c r="A2548" t="str">
        <f>"830214466"</f>
        <v>830214466</v>
      </c>
      <c r="B2548" t="str">
        <f>"315 281 451 00148"</f>
        <v>315 281 451 00148</v>
      </c>
      <c r="D2548" t="str">
        <f>"CDS DENTAIRE"</f>
        <v>CDS DENTAIRE</v>
      </c>
      <c r="F2548" t="str">
        <f>"38 AVENUE PHILIPPE LEBON"</f>
        <v>38 AVENUE PHILIPPE LEBON</v>
      </c>
      <c r="H2548" t="str">
        <f>"83000"</f>
        <v>83000</v>
      </c>
      <c r="I2548" t="str">
        <f>"TOULON"</f>
        <v>TOULON</v>
      </c>
      <c r="J2548" t="str">
        <f>"04 94 62 41 01 "</f>
        <v xml:space="preserve">04 94 62 41 01 </v>
      </c>
      <c r="L2548" s="1">
        <v>33241</v>
      </c>
      <c r="M2548" t="str">
        <f t="shared" si="383"/>
        <v>124</v>
      </c>
      <c r="N2548" t="str">
        <f t="shared" si="384"/>
        <v>Centre de Santé</v>
      </c>
      <c r="O2548" t="str">
        <f>"47"</f>
        <v>47</v>
      </c>
      <c r="P2548" t="str">
        <f>"Société Mutualiste"</f>
        <v>Société Mutualiste</v>
      </c>
      <c r="Q2548" t="str">
        <f t="shared" si="385"/>
        <v>36</v>
      </c>
      <c r="R2548" t="str">
        <f t="shared" si="386"/>
        <v>Tarifs conventionnels assurance maladie</v>
      </c>
      <c r="U2548" t="str">
        <f>"830210084"</f>
        <v>830210084</v>
      </c>
    </row>
    <row r="2549" spans="1:21" x14ac:dyDescent="0.3">
      <c r="A2549" t="str">
        <f>"150781847"</f>
        <v>150781847</v>
      </c>
      <c r="D2549" t="str">
        <f>"ADMR DU PAYS DE SAINT-FLOUR"</f>
        <v>ADMR DU PAYS DE SAINT-FLOUR</v>
      </c>
      <c r="F2549" t="str">
        <f>"2 AVENUE DU DOCTEUR MALLET"</f>
        <v>2 AVENUE DU DOCTEUR MALLET</v>
      </c>
      <c r="H2549" t="str">
        <f>"15100"</f>
        <v>15100</v>
      </c>
      <c r="I2549" t="str">
        <f>"ST FLOUR"</f>
        <v>ST FLOUR</v>
      </c>
      <c r="J2549" t="str">
        <f>"04 71 60 43 20 "</f>
        <v xml:space="preserve">04 71 60 43 20 </v>
      </c>
      <c r="K2549" t="str">
        <f>"04 71 60 43 21"</f>
        <v>04 71 60 43 21</v>
      </c>
      <c r="L2549" s="1">
        <v>33239</v>
      </c>
      <c r="M2549" t="str">
        <f t="shared" si="383"/>
        <v>124</v>
      </c>
      <c r="N2549" t="str">
        <f t="shared" si="384"/>
        <v>Centre de Santé</v>
      </c>
      <c r="O2549" t="str">
        <f>"60"</f>
        <v>60</v>
      </c>
      <c r="P2549" t="str">
        <f>"Association Loi 1901 non Reconnue d'Utilité Publique"</f>
        <v>Association Loi 1901 non Reconnue d'Utilité Publique</v>
      </c>
      <c r="Q2549" t="str">
        <f t="shared" si="385"/>
        <v>36</v>
      </c>
      <c r="R2549" t="str">
        <f t="shared" si="386"/>
        <v>Tarifs conventionnels assurance maladie</v>
      </c>
      <c r="U2549" t="str">
        <f>"150783041"</f>
        <v>150783041</v>
      </c>
    </row>
    <row r="2550" spans="1:21" x14ac:dyDescent="0.3">
      <c r="A2550" t="str">
        <f>"370002248"</f>
        <v>370002248</v>
      </c>
      <c r="B2550" t="str">
        <f>"382 080 315 00015"</f>
        <v>382 080 315 00015</v>
      </c>
      <c r="D2550" t="str">
        <f>"CENTRE SOINS INFIRMIERS 'LE COUVENT'"</f>
        <v>CENTRE SOINS INFIRMIERS 'LE COUVENT'</v>
      </c>
      <c r="F2550" t="str">
        <f>"92 AVENUE GENERAL DE GAULLE"</f>
        <v>92 AVENUE GENERAL DE GAULLE</v>
      </c>
      <c r="H2550" t="str">
        <f>"37800"</f>
        <v>37800</v>
      </c>
      <c r="I2550" t="str">
        <f>"STE MAURE DE TOURAINE"</f>
        <v>STE MAURE DE TOURAINE</v>
      </c>
      <c r="J2550" t="str">
        <f>"02 47 65 45 00 "</f>
        <v xml:space="preserve">02 47 65 45 00 </v>
      </c>
      <c r="L2550" s="1">
        <v>33239</v>
      </c>
      <c r="M2550" t="str">
        <f t="shared" si="383"/>
        <v>124</v>
      </c>
      <c r="N2550" t="str">
        <f t="shared" si="384"/>
        <v>Centre de Santé</v>
      </c>
      <c r="O2550" t="str">
        <f>"60"</f>
        <v>60</v>
      </c>
      <c r="P2550" t="str">
        <f>"Association Loi 1901 non Reconnue d'Utilité Publique"</f>
        <v>Association Loi 1901 non Reconnue d'Utilité Publique</v>
      </c>
      <c r="Q2550" t="str">
        <f t="shared" si="385"/>
        <v>36</v>
      </c>
      <c r="R2550" t="str">
        <f t="shared" si="386"/>
        <v>Tarifs conventionnels assurance maladie</v>
      </c>
      <c r="U2550" t="str">
        <f>"370104192"</f>
        <v>370104192</v>
      </c>
    </row>
    <row r="2551" spans="1:21" x14ac:dyDescent="0.3">
      <c r="A2551" t="str">
        <f>"570017749"</f>
        <v>570017749</v>
      </c>
      <c r="B2551" t="str">
        <f>"775 685 316 03516"</f>
        <v>775 685 316 03516</v>
      </c>
      <c r="D2551" t="str">
        <f>"CSP FILIERIS DE ROUHLING"</f>
        <v>CSP FILIERIS DE ROUHLING</v>
      </c>
      <c r="F2551" t="str">
        <f>"16 AVENUE LOUIS PASTEUR"</f>
        <v>16 AVENUE LOUIS PASTEUR</v>
      </c>
      <c r="H2551" t="str">
        <f>"57520"</f>
        <v>57520</v>
      </c>
      <c r="I2551" t="str">
        <f>"ROUHLING"</f>
        <v>ROUHLING</v>
      </c>
      <c r="J2551" t="str">
        <f>"03 87 09 23 02 "</f>
        <v xml:space="preserve">03 87 09 23 02 </v>
      </c>
      <c r="K2551" t="str">
        <f>"03 87 09 17 96"</f>
        <v>03 87 09 17 96</v>
      </c>
      <c r="L2551" s="1">
        <v>33239</v>
      </c>
      <c r="M2551" t="str">
        <f t="shared" si="383"/>
        <v>124</v>
      </c>
      <c r="N2551" t="str">
        <f t="shared" si="384"/>
        <v>Centre de Santé</v>
      </c>
      <c r="O2551" t="str">
        <f>"41"</f>
        <v>41</v>
      </c>
      <c r="P2551" t="str">
        <f>"Régime Spécial de Sécurité Sociale"</f>
        <v>Régime Spécial de Sécurité Sociale</v>
      </c>
      <c r="Q2551" t="str">
        <f t="shared" si="385"/>
        <v>36</v>
      </c>
      <c r="R2551" t="str">
        <f t="shared" si="386"/>
        <v>Tarifs conventionnels assurance maladie</v>
      </c>
      <c r="U2551" t="str">
        <f>"750050759"</f>
        <v>750050759</v>
      </c>
    </row>
    <row r="2552" spans="1:21" x14ac:dyDescent="0.3">
      <c r="A2552" t="str">
        <f>"590811766"</f>
        <v>590811766</v>
      </c>
      <c r="B2552" t="str">
        <f>"783 712 045 00088"</f>
        <v>783 712 045 00088</v>
      </c>
      <c r="D2552" t="str">
        <f>"CENTRE DE SANTE DENTAIRE"</f>
        <v>CENTRE DE SANTE DENTAIRE</v>
      </c>
      <c r="F2552" t="str">
        <f>"12 RUE DE TOURNAI"</f>
        <v>12 RUE DE TOURNAI</v>
      </c>
      <c r="H2552" t="str">
        <f>"59390"</f>
        <v>59390</v>
      </c>
      <c r="I2552" t="str">
        <f>"LANNOY"</f>
        <v>LANNOY</v>
      </c>
      <c r="J2552" t="str">
        <f>"03 20 89 45 70 "</f>
        <v xml:space="preserve">03 20 89 45 70 </v>
      </c>
      <c r="L2552" s="1">
        <v>33239</v>
      </c>
      <c r="M2552" t="str">
        <f t="shared" si="383"/>
        <v>124</v>
      </c>
      <c r="N2552" t="str">
        <f t="shared" si="384"/>
        <v>Centre de Santé</v>
      </c>
      <c r="O2552" t="str">
        <f t="shared" ref="O2552:O2563" si="387">"47"</f>
        <v>47</v>
      </c>
      <c r="P2552" t="str">
        <f t="shared" ref="P2552:P2563" si="388">"Société Mutualiste"</f>
        <v>Société Mutualiste</v>
      </c>
      <c r="Q2552" t="str">
        <f t="shared" si="385"/>
        <v>36</v>
      </c>
      <c r="R2552" t="str">
        <f t="shared" si="386"/>
        <v>Tarifs conventionnels assurance maladie</v>
      </c>
      <c r="U2552" t="str">
        <f>"590024469"</f>
        <v>590024469</v>
      </c>
    </row>
    <row r="2553" spans="1:21" x14ac:dyDescent="0.3">
      <c r="A2553" t="str">
        <f>"630785343"</f>
        <v>630785343</v>
      </c>
      <c r="B2553" t="str">
        <f>"775 602 436 01102"</f>
        <v>775 602 436 01102</v>
      </c>
      <c r="D2553" t="str">
        <f>"CENTRE DE SANTE DENTAIRE COURNON"</f>
        <v>CENTRE DE SANTE DENTAIRE COURNON</v>
      </c>
      <c r="E2553" t="str">
        <f>"LA BOUTIQUERIE"</f>
        <v>LA BOUTIQUERIE</v>
      </c>
      <c r="F2553" t="str">
        <f>"AVENUE DU MARECHAL FOCH"</f>
        <v>AVENUE DU MARECHAL FOCH</v>
      </c>
      <c r="H2553" t="str">
        <f>"63800"</f>
        <v>63800</v>
      </c>
      <c r="I2553" t="str">
        <f>"COURNON D AUVERGNE"</f>
        <v>COURNON D AUVERGNE</v>
      </c>
      <c r="J2553" t="str">
        <f>"04 73 69 41 08 "</f>
        <v xml:space="preserve">04 73 69 41 08 </v>
      </c>
      <c r="L2553" s="1">
        <v>33239</v>
      </c>
      <c r="M2553" t="str">
        <f t="shared" si="383"/>
        <v>124</v>
      </c>
      <c r="N2553" t="str">
        <f t="shared" si="384"/>
        <v>Centre de Santé</v>
      </c>
      <c r="O2553" t="str">
        <f t="shared" si="387"/>
        <v>47</v>
      </c>
      <c r="P2553" t="str">
        <f t="shared" si="388"/>
        <v>Société Mutualiste</v>
      </c>
      <c r="Q2553" t="str">
        <f t="shared" si="385"/>
        <v>36</v>
      </c>
      <c r="R2553" t="str">
        <f t="shared" si="386"/>
        <v>Tarifs conventionnels assurance maladie</v>
      </c>
      <c r="U2553" t="str">
        <f>"420787061"</f>
        <v>420787061</v>
      </c>
    </row>
    <row r="2554" spans="1:21" x14ac:dyDescent="0.3">
      <c r="A2554" t="str">
        <f>"760919316"</f>
        <v>760919316</v>
      </c>
      <c r="B2554" t="str">
        <f>"794 994 277 01685"</f>
        <v>794 994 277 01685</v>
      </c>
      <c r="D2554" t="str">
        <f>"CLINIQUE DENTAIRE MUTUALISTE"</f>
        <v>CLINIQUE DENTAIRE MUTUALISTE</v>
      </c>
      <c r="F2554" t="str">
        <f>"268 RUE DE PARIS"</f>
        <v>268 RUE DE PARIS</v>
      </c>
      <c r="H2554" t="str">
        <f>"76300"</f>
        <v>76300</v>
      </c>
      <c r="I2554" t="str">
        <f>"SOTTEVILLE LES ROUEN"</f>
        <v>SOTTEVILLE LES ROUEN</v>
      </c>
      <c r="J2554" t="str">
        <f>"02 32 81 56 90 "</f>
        <v xml:space="preserve">02 32 81 56 90 </v>
      </c>
      <c r="L2554" s="1">
        <v>33197</v>
      </c>
      <c r="M2554" t="str">
        <f t="shared" si="383"/>
        <v>124</v>
      </c>
      <c r="N2554" t="str">
        <f t="shared" si="384"/>
        <v>Centre de Santé</v>
      </c>
      <c r="O2554" t="str">
        <f t="shared" si="387"/>
        <v>47</v>
      </c>
      <c r="P2554" t="str">
        <f t="shared" si="388"/>
        <v>Société Mutualiste</v>
      </c>
      <c r="Q2554" t="str">
        <f t="shared" si="385"/>
        <v>36</v>
      </c>
      <c r="R2554" t="str">
        <f t="shared" si="386"/>
        <v>Tarifs conventionnels assurance maladie</v>
      </c>
      <c r="U2554" t="str">
        <f>"760000539"</f>
        <v>760000539</v>
      </c>
    </row>
    <row r="2555" spans="1:21" x14ac:dyDescent="0.3">
      <c r="A2555" t="str">
        <f>"260012000"</f>
        <v>260012000</v>
      </c>
      <c r="B2555" t="str">
        <f>"779 471 986 00215"</f>
        <v>779 471 986 00215</v>
      </c>
      <c r="D2555" t="str">
        <f>"CENTRE DE SANTE EOVI VALENCE / BONJEAN"</f>
        <v>CENTRE DE SANTE EOVI VALENCE / BONJEAN</v>
      </c>
      <c r="F2555" t="str">
        <f>"1 RUE LOUIS BONJEAN"</f>
        <v>1 RUE LOUIS BONJEAN</v>
      </c>
      <c r="H2555" t="str">
        <f>"26000"</f>
        <v>26000</v>
      </c>
      <c r="I2555" t="str">
        <f>"VALENCE"</f>
        <v>VALENCE</v>
      </c>
      <c r="J2555" t="str">
        <f>"04 75 42 32 32 "</f>
        <v xml:space="preserve">04 75 42 32 32 </v>
      </c>
      <c r="L2555" s="1">
        <v>33147</v>
      </c>
      <c r="M2555" t="str">
        <f t="shared" si="383"/>
        <v>124</v>
      </c>
      <c r="N2555" t="str">
        <f t="shared" si="384"/>
        <v>Centre de Santé</v>
      </c>
      <c r="O2555" t="str">
        <f t="shared" si="387"/>
        <v>47</v>
      </c>
      <c r="P2555" t="str">
        <f t="shared" si="388"/>
        <v>Société Mutualiste</v>
      </c>
      <c r="Q2555" t="str">
        <f t="shared" si="385"/>
        <v>36</v>
      </c>
      <c r="R2555" t="str">
        <f t="shared" si="386"/>
        <v>Tarifs conventionnels assurance maladie</v>
      </c>
      <c r="U2555" t="str">
        <f>"260007018"</f>
        <v>260007018</v>
      </c>
    </row>
    <row r="2556" spans="1:21" x14ac:dyDescent="0.3">
      <c r="A2556" t="str">
        <f>"510012115"</f>
        <v>510012115</v>
      </c>
      <c r="B2556" t="str">
        <f>"780 349 833 00308"</f>
        <v>780 349 833 00308</v>
      </c>
      <c r="D2556" t="str">
        <f>"CENTRE DE SANTE MUTUALISTE DE CHALONS"</f>
        <v>CENTRE DE SANTE MUTUALISTE DE CHALONS</v>
      </c>
      <c r="F2556" t="str">
        <f>"3 RUE JULIETTE RECAMIER"</f>
        <v>3 RUE JULIETTE RECAMIER</v>
      </c>
      <c r="H2556" t="str">
        <f>"51000"</f>
        <v>51000</v>
      </c>
      <c r="I2556" t="str">
        <f>"CHALONS EN CHAMPAGNE"</f>
        <v>CHALONS EN CHAMPAGNE</v>
      </c>
      <c r="J2556" t="str">
        <f>"03 26 21 30 11 "</f>
        <v xml:space="preserve">03 26 21 30 11 </v>
      </c>
      <c r="L2556" s="1">
        <v>33117</v>
      </c>
      <c r="M2556" t="str">
        <f t="shared" si="383"/>
        <v>124</v>
      </c>
      <c r="N2556" t="str">
        <f t="shared" si="384"/>
        <v>Centre de Santé</v>
      </c>
      <c r="O2556" t="str">
        <f t="shared" si="387"/>
        <v>47</v>
      </c>
      <c r="P2556" t="str">
        <f t="shared" si="388"/>
        <v>Société Mutualiste</v>
      </c>
      <c r="Q2556" t="str">
        <f t="shared" si="385"/>
        <v>36</v>
      </c>
      <c r="R2556" t="str">
        <f t="shared" si="386"/>
        <v>Tarifs conventionnels assurance maladie</v>
      </c>
      <c r="U2556" t="str">
        <f>"510024581"</f>
        <v>510024581</v>
      </c>
    </row>
    <row r="2557" spans="1:21" x14ac:dyDescent="0.3">
      <c r="A2557" t="str">
        <f>"670797117"</f>
        <v>670797117</v>
      </c>
      <c r="B2557" t="str">
        <f>"434 111 126 00216"</f>
        <v>434 111 126 00216</v>
      </c>
      <c r="D2557" t="str">
        <f>"CLINIQUE DENTAIRE MUTUALITE ILLKIRCH"</f>
        <v>CLINIQUE DENTAIRE MUTUALITE ILLKIRCH</v>
      </c>
      <c r="F2557" t="str">
        <f>"257 ROUTE DE LYON"</f>
        <v>257 ROUTE DE LYON</v>
      </c>
      <c r="H2557" t="str">
        <f>"67400"</f>
        <v>67400</v>
      </c>
      <c r="I2557" t="str">
        <f>"ILLKIRCH GRAFFENSTADEN"</f>
        <v>ILLKIRCH GRAFFENSTADEN</v>
      </c>
      <c r="J2557" t="str">
        <f>"03 88 67 26 66 "</f>
        <v xml:space="preserve">03 88 67 26 66 </v>
      </c>
      <c r="K2557" t="str">
        <f>"03 88 66 75 87"</f>
        <v>03 88 66 75 87</v>
      </c>
      <c r="L2557" s="1">
        <v>33063</v>
      </c>
      <c r="M2557" t="str">
        <f t="shared" si="383"/>
        <v>124</v>
      </c>
      <c r="N2557" t="str">
        <f t="shared" si="384"/>
        <v>Centre de Santé</v>
      </c>
      <c r="O2557" t="str">
        <f t="shared" si="387"/>
        <v>47</v>
      </c>
      <c r="P2557" t="str">
        <f t="shared" si="388"/>
        <v>Société Mutualiste</v>
      </c>
      <c r="Q2557" t="str">
        <f t="shared" si="385"/>
        <v>36</v>
      </c>
      <c r="R2557" t="str">
        <f t="shared" si="386"/>
        <v>Tarifs conventionnels assurance maladie</v>
      </c>
      <c r="U2557" t="str">
        <f>"670010339"</f>
        <v>670010339</v>
      </c>
    </row>
    <row r="2558" spans="1:21" x14ac:dyDescent="0.3">
      <c r="A2558" t="str">
        <f>"830213906"</f>
        <v>830213906</v>
      </c>
      <c r="D2558" t="str">
        <f>"CDS DENTAIRE"</f>
        <v>CDS DENTAIRE</v>
      </c>
      <c r="F2558" t="str">
        <f>"57 AVENUE ARCHIMEDE"</f>
        <v>57 AVENUE ARCHIMEDE</v>
      </c>
      <c r="G2558" t="str">
        <f>"POLE MEDICAL EPSILON III BAT 8"</f>
        <v>POLE MEDICAL EPSILON III BAT 8</v>
      </c>
      <c r="H2558" t="str">
        <f>"83700"</f>
        <v>83700</v>
      </c>
      <c r="I2558" t="str">
        <f>"ST RAPHAEL"</f>
        <v>ST RAPHAEL</v>
      </c>
      <c r="J2558" t="str">
        <f>"04 94 83 89 12 "</f>
        <v xml:space="preserve">04 94 83 89 12 </v>
      </c>
      <c r="L2558" s="1">
        <v>33045</v>
      </c>
      <c r="M2558" t="str">
        <f t="shared" si="383"/>
        <v>124</v>
      </c>
      <c r="N2558" t="str">
        <f t="shared" si="384"/>
        <v>Centre de Santé</v>
      </c>
      <c r="O2558" t="str">
        <f t="shared" si="387"/>
        <v>47</v>
      </c>
      <c r="P2558" t="str">
        <f t="shared" si="388"/>
        <v>Société Mutualiste</v>
      </c>
      <c r="Q2558" t="str">
        <f t="shared" si="385"/>
        <v>36</v>
      </c>
      <c r="R2558" t="str">
        <f t="shared" si="386"/>
        <v>Tarifs conventionnels assurance maladie</v>
      </c>
      <c r="U2558" t="str">
        <f>"130007032"</f>
        <v>130007032</v>
      </c>
    </row>
    <row r="2559" spans="1:21" x14ac:dyDescent="0.3">
      <c r="A2559" t="str">
        <f>"320784564"</f>
        <v>320784564</v>
      </c>
      <c r="B2559" t="str">
        <f>"417 607 223 00084"</f>
        <v>417 607 223 00084</v>
      </c>
      <c r="D2559" t="str">
        <f>"CENTRE DE SANTE DENTAIRE MUTUALISTE"</f>
        <v>CENTRE DE SANTE DENTAIRE MUTUALISTE</v>
      </c>
      <c r="F2559" t="str">
        <f>"42 RUE DU 8 MAI"</f>
        <v>42 RUE DU 8 MAI</v>
      </c>
      <c r="H2559" t="str">
        <f>"32000"</f>
        <v>32000</v>
      </c>
      <c r="I2559" t="str">
        <f>"AUCH"</f>
        <v>AUCH</v>
      </c>
      <c r="J2559" t="str">
        <f>"05 62 61 66 42 "</f>
        <v xml:space="preserve">05 62 61 66 42 </v>
      </c>
      <c r="K2559" t="str">
        <f>"05 62 61 66 43"</f>
        <v>05 62 61 66 43</v>
      </c>
      <c r="L2559" s="1">
        <v>33008</v>
      </c>
      <c r="M2559" t="str">
        <f t="shared" si="383"/>
        <v>124</v>
      </c>
      <c r="N2559" t="str">
        <f t="shared" si="384"/>
        <v>Centre de Santé</v>
      </c>
      <c r="O2559" t="str">
        <f t="shared" si="387"/>
        <v>47</v>
      </c>
      <c r="P2559" t="str">
        <f t="shared" si="388"/>
        <v>Société Mutualiste</v>
      </c>
      <c r="Q2559" t="str">
        <f t="shared" si="385"/>
        <v>36</v>
      </c>
      <c r="R2559" t="str">
        <f t="shared" si="386"/>
        <v>Tarifs conventionnels assurance maladie</v>
      </c>
      <c r="U2559" t="str">
        <f>"320000599"</f>
        <v>320000599</v>
      </c>
    </row>
    <row r="2560" spans="1:21" x14ac:dyDescent="0.3">
      <c r="A2560" t="str">
        <f>"420788465"</f>
        <v>420788465</v>
      </c>
      <c r="B2560" t="str">
        <f>"775 602 436 00559"</f>
        <v>775 602 436 00559</v>
      </c>
      <c r="D2560" t="str">
        <f>"CENTRE DE SANTE MFL SSAM 11 NOVEMBRE"</f>
        <v>CENTRE DE SANTE MFL SSAM 11 NOVEMBRE</v>
      </c>
      <c r="F2560" t="str">
        <f>"70 RUE DU ONZE NOVEMBRE"</f>
        <v>70 RUE DU ONZE NOVEMBRE</v>
      </c>
      <c r="H2560" t="str">
        <f>"42100"</f>
        <v>42100</v>
      </c>
      <c r="I2560" t="str">
        <f>"ST ETIENNE"</f>
        <v>ST ETIENNE</v>
      </c>
      <c r="J2560" t="str">
        <f>"04 77 25 73 32 "</f>
        <v xml:space="preserve">04 77 25 73 32 </v>
      </c>
      <c r="K2560" t="str">
        <f>"04 77 33 46 23"</f>
        <v>04 77 33 46 23</v>
      </c>
      <c r="L2560" s="1">
        <v>32964</v>
      </c>
      <c r="M2560" t="str">
        <f t="shared" si="383"/>
        <v>124</v>
      </c>
      <c r="N2560" t="str">
        <f t="shared" si="384"/>
        <v>Centre de Santé</v>
      </c>
      <c r="O2560" t="str">
        <f t="shared" si="387"/>
        <v>47</v>
      </c>
      <c r="P2560" t="str">
        <f t="shared" si="388"/>
        <v>Société Mutualiste</v>
      </c>
      <c r="Q2560" t="str">
        <f t="shared" si="385"/>
        <v>36</v>
      </c>
      <c r="R2560" t="str">
        <f t="shared" si="386"/>
        <v>Tarifs conventionnels assurance maladie</v>
      </c>
      <c r="U2560" t="str">
        <f>"420787061"</f>
        <v>420787061</v>
      </c>
    </row>
    <row r="2561" spans="1:21" x14ac:dyDescent="0.3">
      <c r="A2561" t="str">
        <f>"590810065"</f>
        <v>590810065</v>
      </c>
      <c r="B2561" t="str">
        <f>"783 712 045 00112"</f>
        <v>783 712 045 00112</v>
      </c>
      <c r="D2561" t="str">
        <f>"CENTRE DE SANTE DENTAIRE"</f>
        <v>CENTRE DE SANTE DENTAIRE</v>
      </c>
      <c r="F2561" t="str">
        <f>"65 AVENUE DE LA REPUBLIQUE"</f>
        <v>65 AVENUE DE LA REPUBLIQUE</v>
      </c>
      <c r="H2561" t="str">
        <f>"59461"</f>
        <v>59461</v>
      </c>
      <c r="I2561" t="str">
        <f>"LOMME CEDEX"</f>
        <v>LOMME CEDEX</v>
      </c>
      <c r="J2561" t="str">
        <f>"03 20 93 41 83 "</f>
        <v xml:space="preserve">03 20 93 41 83 </v>
      </c>
      <c r="L2561" s="1">
        <v>32940</v>
      </c>
      <c r="M2561" t="str">
        <f t="shared" si="383"/>
        <v>124</v>
      </c>
      <c r="N2561" t="str">
        <f t="shared" si="384"/>
        <v>Centre de Santé</v>
      </c>
      <c r="O2561" t="str">
        <f t="shared" si="387"/>
        <v>47</v>
      </c>
      <c r="P2561" t="str">
        <f t="shared" si="388"/>
        <v>Société Mutualiste</v>
      </c>
      <c r="Q2561" t="str">
        <f t="shared" si="385"/>
        <v>36</v>
      </c>
      <c r="R2561" t="str">
        <f t="shared" si="386"/>
        <v>Tarifs conventionnels assurance maladie</v>
      </c>
      <c r="U2561" t="str">
        <f>"590024469"</f>
        <v>590024469</v>
      </c>
    </row>
    <row r="2562" spans="1:21" x14ac:dyDescent="0.3">
      <c r="A2562" t="str">
        <f>"050005917"</f>
        <v>050005917</v>
      </c>
      <c r="D2562" t="str">
        <f>"CDS DENTAIRE"</f>
        <v>CDS DENTAIRE</v>
      </c>
      <c r="F2562" t="str">
        <f>"148 BOULEVARD GEORGES POMPIDOU"</f>
        <v>148 BOULEVARD GEORGES POMPIDOU</v>
      </c>
      <c r="H2562" t="str">
        <f>"05000"</f>
        <v>05000</v>
      </c>
      <c r="I2562" t="str">
        <f>"GAP"</f>
        <v>GAP</v>
      </c>
      <c r="J2562" t="str">
        <f>"04 92 52 05 78 "</f>
        <v xml:space="preserve">04 92 52 05 78 </v>
      </c>
      <c r="K2562" t="str">
        <f>"04 92 53 88 18"</f>
        <v>04 92 53 88 18</v>
      </c>
      <c r="L2562" s="1">
        <v>32933</v>
      </c>
      <c r="M2562" t="str">
        <f t="shared" ref="M2562:M2625" si="389">"124"</f>
        <v>124</v>
      </c>
      <c r="N2562" t="str">
        <f t="shared" ref="N2562:N2625" si="390">"Centre de Santé"</f>
        <v>Centre de Santé</v>
      </c>
      <c r="O2562" t="str">
        <f t="shared" si="387"/>
        <v>47</v>
      </c>
      <c r="P2562" t="str">
        <f t="shared" si="388"/>
        <v>Société Mutualiste</v>
      </c>
      <c r="Q2562" t="str">
        <f t="shared" si="385"/>
        <v>36</v>
      </c>
      <c r="R2562" t="str">
        <f t="shared" si="386"/>
        <v>Tarifs conventionnels assurance maladie</v>
      </c>
      <c r="U2562" t="str">
        <f>"130007032"</f>
        <v>130007032</v>
      </c>
    </row>
    <row r="2563" spans="1:21" x14ac:dyDescent="0.3">
      <c r="A2563" t="str">
        <f>"420788457"</f>
        <v>420788457</v>
      </c>
      <c r="B2563" t="str">
        <f>"775 602 436 00880"</f>
        <v>775 602 436 00880</v>
      </c>
      <c r="D2563" t="str">
        <f>"CENTRE DE SANTE MFL SSAM MONTBRISON"</f>
        <v>CENTRE DE SANTE MFL SSAM MONTBRISON</v>
      </c>
      <c r="F2563" t="str">
        <f>"2 AVENUE ALSACE LORRAINE"</f>
        <v>2 AVENUE ALSACE LORRAINE</v>
      </c>
      <c r="H2563" t="str">
        <f>"42600"</f>
        <v>42600</v>
      </c>
      <c r="I2563" t="str">
        <f>"MONTBRISON"</f>
        <v>MONTBRISON</v>
      </c>
      <c r="J2563" t="str">
        <f>"04 77 47 63 25 "</f>
        <v xml:space="preserve">04 77 47 63 25 </v>
      </c>
      <c r="K2563" t="str">
        <f>"04 77 48 10 09"</f>
        <v>04 77 48 10 09</v>
      </c>
      <c r="L2563" s="1">
        <v>32905</v>
      </c>
      <c r="M2563" t="str">
        <f t="shared" si="389"/>
        <v>124</v>
      </c>
      <c r="N2563" t="str">
        <f t="shared" si="390"/>
        <v>Centre de Santé</v>
      </c>
      <c r="O2563" t="str">
        <f t="shared" si="387"/>
        <v>47</v>
      </c>
      <c r="P2563" t="str">
        <f t="shared" si="388"/>
        <v>Société Mutualiste</v>
      </c>
      <c r="Q2563" t="str">
        <f t="shared" si="385"/>
        <v>36</v>
      </c>
      <c r="R2563" t="str">
        <f t="shared" si="386"/>
        <v>Tarifs conventionnels assurance maladie</v>
      </c>
      <c r="U2563" t="str">
        <f>"420787061"</f>
        <v>420787061</v>
      </c>
    </row>
    <row r="2564" spans="1:21" x14ac:dyDescent="0.3">
      <c r="A2564" t="str">
        <f>"860782176"</f>
        <v>860782176</v>
      </c>
      <c r="B2564" t="str">
        <f>"308 798 149 00024"</f>
        <v>308 798 149 00024</v>
      </c>
      <c r="D2564" t="str">
        <f>"CENTRE DE SANTE"</f>
        <v>CENTRE DE SANTE</v>
      </c>
      <c r="F2564" t="str">
        <f>"1 RUE MADAME"</f>
        <v>1 RUE MADAME</v>
      </c>
      <c r="H2564" t="str">
        <f>"86100"</f>
        <v>86100</v>
      </c>
      <c r="I2564" t="str">
        <f>"CHATELLERAULT"</f>
        <v>CHATELLERAULT</v>
      </c>
      <c r="J2564" t="str">
        <f>"05 49 21 10 53 "</f>
        <v xml:space="preserve">05 49 21 10 53 </v>
      </c>
      <c r="K2564" t="str">
        <f>"05 49 93 35 38"</f>
        <v>05 49 93 35 38</v>
      </c>
      <c r="L2564" s="1">
        <v>32874</v>
      </c>
      <c r="M2564" t="str">
        <f t="shared" si="389"/>
        <v>124</v>
      </c>
      <c r="N2564" t="str">
        <f t="shared" si="390"/>
        <v>Centre de Santé</v>
      </c>
      <c r="O2564" t="str">
        <f>"60"</f>
        <v>60</v>
      </c>
      <c r="P2564" t="str">
        <f>"Association Loi 1901 non Reconnue d'Utilité Publique"</f>
        <v>Association Loi 1901 non Reconnue d'Utilité Publique</v>
      </c>
      <c r="Q2564" t="str">
        <f t="shared" si="385"/>
        <v>36</v>
      </c>
      <c r="R2564" t="str">
        <f t="shared" si="386"/>
        <v>Tarifs conventionnels assurance maladie</v>
      </c>
      <c r="U2564" t="str">
        <f>"860000272"</f>
        <v>860000272</v>
      </c>
    </row>
    <row r="2565" spans="1:21" x14ac:dyDescent="0.3">
      <c r="A2565" t="str">
        <f>"920024924"</f>
        <v>920024924</v>
      </c>
      <c r="B2565" t="str">
        <f>"269 200 408 00053"</f>
        <v>269 200 408 00053</v>
      </c>
      <c r="D2565" t="str">
        <f>"CDS MUNICIPAL DANIEL TIMSIT"</f>
        <v>CDS MUNICIPAL DANIEL TIMSIT</v>
      </c>
      <c r="F2565" t="str">
        <f>"80 AVENUE CHANDON"</f>
        <v>80 AVENUE CHANDON</v>
      </c>
      <c r="H2565" t="str">
        <f>"92230"</f>
        <v>92230</v>
      </c>
      <c r="I2565" t="str">
        <f>"GENNEVILLIERS"</f>
        <v>GENNEVILLIERS</v>
      </c>
      <c r="J2565" t="str">
        <f>"01 41 11 27 30 "</f>
        <v xml:space="preserve">01 41 11 27 30 </v>
      </c>
      <c r="K2565" t="str">
        <f>"01 41 11 27 32"</f>
        <v>01 41 11 27 32</v>
      </c>
      <c r="L2565" s="1">
        <v>32874</v>
      </c>
      <c r="M2565" t="str">
        <f t="shared" si="389"/>
        <v>124</v>
      </c>
      <c r="N2565" t="str">
        <f t="shared" si="390"/>
        <v>Centre de Santé</v>
      </c>
      <c r="O2565" t="str">
        <f>"17"</f>
        <v>17</v>
      </c>
      <c r="P2565" t="str">
        <f>"Centre Communal d'Action Sociale"</f>
        <v>Centre Communal d'Action Sociale</v>
      </c>
      <c r="Q2565" t="str">
        <f t="shared" si="385"/>
        <v>36</v>
      </c>
      <c r="R2565" t="str">
        <f t="shared" si="386"/>
        <v>Tarifs conventionnels assurance maladie</v>
      </c>
      <c r="U2565" t="str">
        <f>"920807708"</f>
        <v>920807708</v>
      </c>
    </row>
    <row r="2566" spans="1:21" x14ac:dyDescent="0.3">
      <c r="A2566" t="str">
        <f>"270012883"</f>
        <v>270012883</v>
      </c>
      <c r="B2566" t="str">
        <f>"794 994 277 01032"</f>
        <v>794 994 277 01032</v>
      </c>
      <c r="D2566" t="str">
        <f>"CENTRE SANTE DENTAIRE MUTUALISTE VAL"</f>
        <v>CENTRE SANTE DENTAIRE MUTUALISTE VAL</v>
      </c>
      <c r="F2566" t="str">
        <f>"130 RUE GRANDE"</f>
        <v>130 RUE GRANDE</v>
      </c>
      <c r="H2566" t="str">
        <f>"27100"</f>
        <v>27100</v>
      </c>
      <c r="I2566" t="str">
        <f>"VAL DE REUIL"</f>
        <v>VAL DE REUIL</v>
      </c>
      <c r="J2566" t="str">
        <f>"02 32 59 48 91 "</f>
        <v xml:space="preserve">02 32 59 48 91 </v>
      </c>
      <c r="K2566" t="str">
        <f>"02 32 61 15 74"</f>
        <v>02 32 61 15 74</v>
      </c>
      <c r="L2566" s="1">
        <v>32854</v>
      </c>
      <c r="M2566" t="str">
        <f t="shared" si="389"/>
        <v>124</v>
      </c>
      <c r="N2566" t="str">
        <f t="shared" si="390"/>
        <v>Centre de Santé</v>
      </c>
      <c r="O2566" t="str">
        <f>"47"</f>
        <v>47</v>
      </c>
      <c r="P2566" t="str">
        <f>"Société Mutualiste"</f>
        <v>Société Mutualiste</v>
      </c>
      <c r="Q2566" t="str">
        <f t="shared" si="385"/>
        <v>36</v>
      </c>
      <c r="R2566" t="str">
        <f t="shared" si="386"/>
        <v>Tarifs conventionnels assurance maladie</v>
      </c>
      <c r="U2566" t="str">
        <f>"760000539"</f>
        <v>760000539</v>
      </c>
    </row>
    <row r="2567" spans="1:21" x14ac:dyDescent="0.3">
      <c r="A2567" t="str">
        <f>"940020365"</f>
        <v>940020365</v>
      </c>
      <c r="B2567" t="str">
        <f>"326 982 337 00031"</f>
        <v>326 982 337 00031</v>
      </c>
      <c r="D2567" t="str">
        <f>"CDS LE COMEDE"</f>
        <v>CDS LE COMEDE</v>
      </c>
      <c r="E2567" t="str">
        <f>"HOPITAL DE BICETRE"</f>
        <v>HOPITAL DE BICETRE</v>
      </c>
      <c r="F2567" t="str">
        <f>"78 RUE DU GENERAL LECLERC"</f>
        <v>78 RUE DU GENERAL LECLERC</v>
      </c>
      <c r="G2567" t="str">
        <f>"BP 31"</f>
        <v>BP 31</v>
      </c>
      <c r="H2567" t="str">
        <f>"94272"</f>
        <v>94272</v>
      </c>
      <c r="I2567" t="str">
        <f>"LE KREMLIN BICETRE CEDEX"</f>
        <v>LE KREMLIN BICETRE CEDEX</v>
      </c>
      <c r="J2567" t="str">
        <f>"01 45 21 38 40 "</f>
        <v xml:space="preserve">01 45 21 38 40 </v>
      </c>
      <c r="K2567" t="str">
        <f>"01 45 21 38 41"</f>
        <v>01 45 21 38 41</v>
      </c>
      <c r="L2567" s="1">
        <v>32791</v>
      </c>
      <c r="M2567" t="str">
        <f t="shared" si="389"/>
        <v>124</v>
      </c>
      <c r="N2567" t="str">
        <f t="shared" si="390"/>
        <v>Centre de Santé</v>
      </c>
      <c r="O2567" t="str">
        <f>"61"</f>
        <v>61</v>
      </c>
      <c r="P2567" t="str">
        <f>"Association Loi 1901 Reconnue d'Utilité Publique"</f>
        <v>Association Loi 1901 Reconnue d'Utilité Publique</v>
      </c>
      <c r="Q2567" t="str">
        <f t="shared" si="385"/>
        <v>36</v>
      </c>
      <c r="R2567" t="str">
        <f t="shared" si="386"/>
        <v>Tarifs conventionnels assurance maladie</v>
      </c>
      <c r="U2567" t="str">
        <f>"940001159"</f>
        <v>940001159</v>
      </c>
    </row>
    <row r="2568" spans="1:21" x14ac:dyDescent="0.3">
      <c r="A2568" t="str">
        <f>"930816145"</f>
        <v>930816145</v>
      </c>
      <c r="B2568" t="str">
        <f>"219 300 050 00933"</f>
        <v>219 300 050 00933</v>
      </c>
      <c r="D2568" t="str">
        <f>"CDS MUNICIPAL EDUCATION POUR LA SANTE"</f>
        <v>CDS MUNICIPAL EDUCATION POUR LA SANTE</v>
      </c>
      <c r="F2568" t="str">
        <f>"8 AVENUE COULLEMONT"</f>
        <v>8 AVENUE COULLEMONT</v>
      </c>
      <c r="H2568" t="str">
        <f>"93600"</f>
        <v>93600</v>
      </c>
      <c r="I2568" t="str">
        <f>"AULNAY SOUS BOIS"</f>
        <v>AULNAY SOUS BOIS</v>
      </c>
      <c r="J2568" t="str">
        <f>"01 49 29 62 26 "</f>
        <v xml:space="preserve">01 49 29 62 26 </v>
      </c>
      <c r="K2568" t="str">
        <f>"01 48 69 41 73"</f>
        <v>01 48 69 41 73</v>
      </c>
      <c r="L2568" s="1">
        <v>32692</v>
      </c>
      <c r="M2568" t="str">
        <f t="shared" si="389"/>
        <v>124</v>
      </c>
      <c r="N2568" t="str">
        <f t="shared" si="390"/>
        <v>Centre de Santé</v>
      </c>
      <c r="O2568" t="str">
        <f>"03"</f>
        <v>03</v>
      </c>
      <c r="P2568" t="str">
        <f>"Commune"</f>
        <v>Commune</v>
      </c>
      <c r="Q2568" t="str">
        <f t="shared" si="385"/>
        <v>36</v>
      </c>
      <c r="R2568" t="str">
        <f t="shared" si="386"/>
        <v>Tarifs conventionnels assurance maladie</v>
      </c>
      <c r="U2568" t="str">
        <f>"930812870"</f>
        <v>930812870</v>
      </c>
    </row>
    <row r="2569" spans="1:21" x14ac:dyDescent="0.3">
      <c r="A2569" t="str">
        <f>"430007138"</f>
        <v>430007138</v>
      </c>
      <c r="B2569" t="str">
        <f>"775 602 436 00849"</f>
        <v>775 602 436 00849</v>
      </c>
      <c r="D2569" t="str">
        <f>"CENTRE DE SANTE DENTAIRE MUTUALISTE"</f>
        <v>CENTRE DE SANTE DENTAIRE MUTUALISTE</v>
      </c>
      <c r="F2569" t="str">
        <f>"13 AVENUE CHARLES DUPUY"</f>
        <v>13 AVENUE CHARLES DUPUY</v>
      </c>
      <c r="H2569" t="str">
        <f>"43000"</f>
        <v>43000</v>
      </c>
      <c r="I2569" t="str">
        <f>"LE PUY EN VELAY"</f>
        <v>LE PUY EN VELAY</v>
      </c>
      <c r="J2569" t="str">
        <f>"04 71 05 20 83 "</f>
        <v xml:space="preserve">04 71 05 20 83 </v>
      </c>
      <c r="K2569" t="str">
        <f>"04 71 05 63 38"</f>
        <v>04 71 05 63 38</v>
      </c>
      <c r="L2569" s="1">
        <v>32686</v>
      </c>
      <c r="M2569" t="str">
        <f t="shared" si="389"/>
        <v>124</v>
      </c>
      <c r="N2569" t="str">
        <f t="shared" si="390"/>
        <v>Centre de Santé</v>
      </c>
      <c r="O2569" t="str">
        <f>"47"</f>
        <v>47</v>
      </c>
      <c r="P2569" t="str">
        <f>"Société Mutualiste"</f>
        <v>Société Mutualiste</v>
      </c>
      <c r="Q2569" t="str">
        <f t="shared" si="385"/>
        <v>36</v>
      </c>
      <c r="R2569" t="str">
        <f t="shared" si="386"/>
        <v>Tarifs conventionnels assurance maladie</v>
      </c>
      <c r="U2569" t="str">
        <f>"420787061"</f>
        <v>420787061</v>
      </c>
    </row>
    <row r="2570" spans="1:21" x14ac:dyDescent="0.3">
      <c r="A2570" t="str">
        <f>"500002472"</f>
        <v>500002472</v>
      </c>
      <c r="B2570" t="str">
        <f>"312 520 984 00039"</f>
        <v>312 520 984 00039</v>
      </c>
      <c r="D2570" t="str">
        <f>"CENTRE DE SOINS INFIRMIERS - COUTANCES"</f>
        <v>CENTRE DE SOINS INFIRMIERS - COUTANCES</v>
      </c>
      <c r="F2570" t="str">
        <f>"11 RUE AMBROISE PARÉ"</f>
        <v>11 RUE AMBROISE PARÉ</v>
      </c>
      <c r="H2570" t="str">
        <f>"50200"</f>
        <v>50200</v>
      </c>
      <c r="I2570" t="str">
        <f>"COUTANCES"</f>
        <v>COUTANCES</v>
      </c>
      <c r="J2570" t="str">
        <f>"02 33 45 01 19 "</f>
        <v xml:space="preserve">02 33 45 01 19 </v>
      </c>
      <c r="L2570" s="1">
        <v>32672</v>
      </c>
      <c r="M2570" t="str">
        <f t="shared" si="389"/>
        <v>124</v>
      </c>
      <c r="N2570" t="str">
        <f t="shared" si="390"/>
        <v>Centre de Santé</v>
      </c>
      <c r="O2570" t="str">
        <f>"60"</f>
        <v>60</v>
      </c>
      <c r="P2570" t="str">
        <f>"Association Loi 1901 non Reconnue d'Utilité Publique"</f>
        <v>Association Loi 1901 non Reconnue d'Utilité Publique</v>
      </c>
      <c r="Q2570" t="str">
        <f t="shared" si="385"/>
        <v>36</v>
      </c>
      <c r="R2570" t="str">
        <f t="shared" si="386"/>
        <v>Tarifs conventionnels assurance maladie</v>
      </c>
      <c r="U2570" t="str">
        <f>"500020110"</f>
        <v>500020110</v>
      </c>
    </row>
    <row r="2571" spans="1:21" x14ac:dyDescent="0.3">
      <c r="A2571" t="str">
        <f>"300786514"</f>
        <v>300786514</v>
      </c>
      <c r="D2571" t="str">
        <f>"CDS DENTAIRE UGOSMUT BAGNOLS SUR CEZE"</f>
        <v>CDS DENTAIRE UGOSMUT BAGNOLS SUR CEZE</v>
      </c>
      <c r="F2571" t="str">
        <f>"12 RUE SAINT VICTOR"</f>
        <v>12 RUE SAINT VICTOR</v>
      </c>
      <c r="H2571" t="str">
        <f>"30200"</f>
        <v>30200</v>
      </c>
      <c r="I2571" t="str">
        <f>"BAGNOLS SUR CEZE"</f>
        <v>BAGNOLS SUR CEZE</v>
      </c>
      <c r="J2571" t="str">
        <f>"04 66 89 05 04 "</f>
        <v xml:space="preserve">04 66 89 05 04 </v>
      </c>
      <c r="L2571" s="1">
        <v>32660</v>
      </c>
      <c r="M2571" t="str">
        <f t="shared" si="389"/>
        <v>124</v>
      </c>
      <c r="N2571" t="str">
        <f t="shared" si="390"/>
        <v>Centre de Santé</v>
      </c>
      <c r="O2571" t="str">
        <f>"47"</f>
        <v>47</v>
      </c>
      <c r="P2571" t="str">
        <f>"Société Mutualiste"</f>
        <v>Société Mutualiste</v>
      </c>
      <c r="Q2571" t="str">
        <f t="shared" si="385"/>
        <v>36</v>
      </c>
      <c r="R2571" t="str">
        <f t="shared" si="386"/>
        <v>Tarifs conventionnels assurance maladie</v>
      </c>
      <c r="U2571" t="str">
        <f>"690048111"</f>
        <v>690048111</v>
      </c>
    </row>
    <row r="2572" spans="1:21" x14ac:dyDescent="0.3">
      <c r="A2572" t="str">
        <f>"120787015"</f>
        <v>120787015</v>
      </c>
      <c r="B2572" t="str">
        <f>"442 491 197 00194"</f>
        <v>442 491 197 00194</v>
      </c>
      <c r="D2572" t="str">
        <f>"CENTRE DE SOINS INFIRMIERS ST AFFRIQUE"</f>
        <v>CENTRE DE SOINS INFIRMIERS ST AFFRIQUE</v>
      </c>
      <c r="E2572" t="str">
        <f>"APPT 2"</f>
        <v>APPT 2</v>
      </c>
      <c r="F2572" t="str">
        <f>"23 PLACE DE LA LIBERTE"</f>
        <v>23 PLACE DE LA LIBERTE</v>
      </c>
      <c r="H2572" t="str">
        <f>"12400"</f>
        <v>12400</v>
      </c>
      <c r="I2572" t="str">
        <f>"ST AFFRIQUE"</f>
        <v>ST AFFRIQUE</v>
      </c>
      <c r="J2572" t="str">
        <f>"05 65 98 14 55 "</f>
        <v xml:space="preserve">05 65 98 14 55 </v>
      </c>
      <c r="L2572" s="1">
        <v>32650</v>
      </c>
      <c r="M2572" t="str">
        <f t="shared" si="389"/>
        <v>124</v>
      </c>
      <c r="N2572" t="str">
        <f t="shared" si="390"/>
        <v>Centre de Santé</v>
      </c>
      <c r="O2572" t="str">
        <f>"47"</f>
        <v>47</v>
      </c>
      <c r="P2572" t="str">
        <f>"Société Mutualiste"</f>
        <v>Société Mutualiste</v>
      </c>
      <c r="Q2572" t="str">
        <f t="shared" si="385"/>
        <v>36</v>
      </c>
      <c r="R2572" t="str">
        <f t="shared" si="386"/>
        <v>Tarifs conventionnels assurance maladie</v>
      </c>
      <c r="U2572" t="str">
        <f>"120784616"</f>
        <v>120784616</v>
      </c>
    </row>
    <row r="2573" spans="1:21" x14ac:dyDescent="0.3">
      <c r="A2573" t="str">
        <f>"470009606"</f>
        <v>470009606</v>
      </c>
      <c r="B2573" t="str">
        <f>"782 152 979 00251"</f>
        <v>782 152 979 00251</v>
      </c>
      <c r="D2573" t="str">
        <f>"CENTRE DE SANTE DENTAIRE MUTUALISTE"</f>
        <v>CENTRE DE SANTE DENTAIRE MUTUALISTE</v>
      </c>
      <c r="F2573" t="str">
        <f>"77 AVENUE JEAN JAURES"</f>
        <v>77 AVENUE JEAN JAURES</v>
      </c>
      <c r="H2573" t="str">
        <f>"47200"</f>
        <v>47200</v>
      </c>
      <c r="I2573" t="str">
        <f>"MARMANDE"</f>
        <v>MARMANDE</v>
      </c>
      <c r="J2573" t="str">
        <f>"05 53 20 93 49 "</f>
        <v xml:space="preserve">05 53 20 93 49 </v>
      </c>
      <c r="K2573" t="str">
        <f>"05 53 20 29 39"</f>
        <v>05 53 20 29 39</v>
      </c>
      <c r="L2573" s="1">
        <v>32630</v>
      </c>
      <c r="M2573" t="str">
        <f t="shared" si="389"/>
        <v>124</v>
      </c>
      <c r="N2573" t="str">
        <f t="shared" si="390"/>
        <v>Centre de Santé</v>
      </c>
      <c r="O2573" t="str">
        <f>"47"</f>
        <v>47</v>
      </c>
      <c r="P2573" t="str">
        <f>"Société Mutualiste"</f>
        <v>Société Mutualiste</v>
      </c>
      <c r="Q2573" t="str">
        <f t="shared" si="385"/>
        <v>36</v>
      </c>
      <c r="R2573" t="str">
        <f t="shared" si="386"/>
        <v>Tarifs conventionnels assurance maladie</v>
      </c>
      <c r="U2573" t="str">
        <f>"470009598"</f>
        <v>470009598</v>
      </c>
    </row>
    <row r="2574" spans="1:21" x14ac:dyDescent="0.3">
      <c r="A2574" t="str">
        <f>"470009614"</f>
        <v>470009614</v>
      </c>
      <c r="B2574" t="str">
        <f>"782 152 979 00293"</f>
        <v>782 152 979 00293</v>
      </c>
      <c r="D2574" t="str">
        <f>"CENTRE DE SANTE DENTAIRE MUTUALISTE"</f>
        <v>CENTRE DE SANTE DENTAIRE MUTUALISTE</v>
      </c>
      <c r="E2574" t="str">
        <f>"CENTRE ANATOLE FRANCE- 1ER ETAGE"</f>
        <v>CENTRE ANATOLE FRANCE- 1ER ETAGE</v>
      </c>
      <c r="F2574" t="str">
        <f>"26 AVENUE DE FUMEL"</f>
        <v>26 AVENUE DE FUMEL</v>
      </c>
      <c r="H2574" t="str">
        <f>"47300"</f>
        <v>47300</v>
      </c>
      <c r="I2574" t="str">
        <f>"VILLENEUVE SUR LOT"</f>
        <v>VILLENEUVE SUR LOT</v>
      </c>
      <c r="J2574" t="str">
        <f>"05 53 40 23 16 "</f>
        <v xml:space="preserve">05 53 40 23 16 </v>
      </c>
      <c r="K2574" t="str">
        <f>"05 53 40 52 60"</f>
        <v>05 53 40 52 60</v>
      </c>
      <c r="L2574" s="1">
        <v>32630</v>
      </c>
      <c r="M2574" t="str">
        <f t="shared" si="389"/>
        <v>124</v>
      </c>
      <c r="N2574" t="str">
        <f t="shared" si="390"/>
        <v>Centre de Santé</v>
      </c>
      <c r="O2574" t="str">
        <f>"47"</f>
        <v>47</v>
      </c>
      <c r="P2574" t="str">
        <f>"Société Mutualiste"</f>
        <v>Société Mutualiste</v>
      </c>
      <c r="Q2574" t="str">
        <f t="shared" si="385"/>
        <v>36</v>
      </c>
      <c r="R2574" t="str">
        <f t="shared" si="386"/>
        <v>Tarifs conventionnels assurance maladie</v>
      </c>
      <c r="U2574" t="str">
        <f>"470009598"</f>
        <v>470009598</v>
      </c>
    </row>
    <row r="2575" spans="1:21" x14ac:dyDescent="0.3">
      <c r="A2575" t="str">
        <f>"250002656"</f>
        <v>250002656</v>
      </c>
      <c r="B2575" t="str">
        <f>"775 571 300 00174"</f>
        <v>775 571 300 00174</v>
      </c>
      <c r="D2575" t="str">
        <f>"CENTRE DE SANTE AHS FC CLAT"</f>
        <v>CENTRE DE SANTE AHS FC CLAT</v>
      </c>
      <c r="F2575" t="str">
        <f>"15 AVENUE DENFERT ROCHEREAU"</f>
        <v>15 AVENUE DENFERT ROCHEREAU</v>
      </c>
      <c r="H2575" t="str">
        <f>"25000"</f>
        <v>25000</v>
      </c>
      <c r="I2575" t="str">
        <f>"BESANCON"</f>
        <v>BESANCON</v>
      </c>
      <c r="J2575" t="str">
        <f>"03 81 65 44 58 "</f>
        <v xml:space="preserve">03 81 65 44 58 </v>
      </c>
      <c r="L2575" s="1">
        <v>32549</v>
      </c>
      <c r="M2575" t="str">
        <f t="shared" si="389"/>
        <v>124</v>
      </c>
      <c r="N2575" t="str">
        <f t="shared" si="390"/>
        <v>Centre de Santé</v>
      </c>
      <c r="O2575" t="str">
        <f>"61"</f>
        <v>61</v>
      </c>
      <c r="P2575" t="str">
        <f>"Association Loi 1901 Reconnue d'Utilité Publique"</f>
        <v>Association Loi 1901 Reconnue d'Utilité Publique</v>
      </c>
      <c r="Q2575" t="str">
        <f t="shared" si="385"/>
        <v>36</v>
      </c>
      <c r="R2575" t="str">
        <f t="shared" si="386"/>
        <v>Tarifs conventionnels assurance maladie</v>
      </c>
      <c r="U2575" t="str">
        <f>"250006061"</f>
        <v>250006061</v>
      </c>
    </row>
    <row r="2576" spans="1:21" x14ac:dyDescent="0.3">
      <c r="A2576" t="str">
        <f>"760917880"</f>
        <v>760917880</v>
      </c>
      <c r="B2576" t="str">
        <f>"794 994 277 01859"</f>
        <v>794 994 277 01859</v>
      </c>
      <c r="D2576" t="str">
        <f>"CLINIQUE DENTAIRE MUTUALISTE"</f>
        <v>CLINIQUE DENTAIRE MUTUALISTE</v>
      </c>
      <c r="F2576" t="str">
        <f>"18 COURS COMMANDANT FRATACCI"</f>
        <v>18 COURS COMMANDANT FRATACCI</v>
      </c>
      <c r="H2576" t="str">
        <f>"76600"</f>
        <v>76600</v>
      </c>
      <c r="I2576" t="str">
        <f>"LE HAVRE"</f>
        <v>LE HAVRE</v>
      </c>
      <c r="J2576" t="str">
        <f>"02 32 74 05 60 "</f>
        <v xml:space="preserve">02 32 74 05 60 </v>
      </c>
      <c r="L2576" s="1">
        <v>32540</v>
      </c>
      <c r="M2576" t="str">
        <f t="shared" si="389"/>
        <v>124</v>
      </c>
      <c r="N2576" t="str">
        <f t="shared" si="390"/>
        <v>Centre de Santé</v>
      </c>
      <c r="O2576" t="str">
        <f>"47"</f>
        <v>47</v>
      </c>
      <c r="P2576" t="str">
        <f>"Société Mutualiste"</f>
        <v>Société Mutualiste</v>
      </c>
      <c r="Q2576" t="str">
        <f t="shared" si="385"/>
        <v>36</v>
      </c>
      <c r="R2576" t="str">
        <f t="shared" si="386"/>
        <v>Tarifs conventionnels assurance maladie</v>
      </c>
      <c r="U2576" t="str">
        <f>"760000539"</f>
        <v>760000539</v>
      </c>
    </row>
    <row r="2577" spans="1:21" x14ac:dyDescent="0.3">
      <c r="A2577" t="str">
        <f>"310793773"</f>
        <v>310793773</v>
      </c>
      <c r="B2577" t="str">
        <f>"776 950 529 00094"</f>
        <v>776 950 529 00094</v>
      </c>
      <c r="D2577" t="str">
        <f>"CABINET DENTAIRE"</f>
        <v>CABINET DENTAIRE</v>
      </c>
      <c r="F2577" t="str">
        <f>"9 AVENUE TOLOSANE"</f>
        <v>9 AVENUE TOLOSANE</v>
      </c>
      <c r="H2577" t="str">
        <f>"31520"</f>
        <v>31520</v>
      </c>
      <c r="I2577" t="str">
        <f>"RAMONVILLE ST AGNE"</f>
        <v>RAMONVILLE ST AGNE</v>
      </c>
      <c r="J2577" t="str">
        <f>"05 61 75 03 00 "</f>
        <v xml:space="preserve">05 61 75 03 00 </v>
      </c>
      <c r="L2577" s="1">
        <v>32464</v>
      </c>
      <c r="M2577" t="str">
        <f t="shared" si="389"/>
        <v>124</v>
      </c>
      <c r="N2577" t="str">
        <f t="shared" si="390"/>
        <v>Centre de Santé</v>
      </c>
      <c r="O2577" t="str">
        <f>"47"</f>
        <v>47</v>
      </c>
      <c r="P2577" t="str">
        <f>"Société Mutualiste"</f>
        <v>Société Mutualiste</v>
      </c>
      <c r="Q2577" t="str">
        <f t="shared" si="385"/>
        <v>36</v>
      </c>
      <c r="R2577" t="str">
        <f t="shared" si="386"/>
        <v>Tarifs conventionnels assurance maladie</v>
      </c>
      <c r="U2577" t="str">
        <f>"310788682"</f>
        <v>310788682</v>
      </c>
    </row>
    <row r="2578" spans="1:21" x14ac:dyDescent="0.3">
      <c r="A2578" t="str">
        <f>"010788578"</f>
        <v>010788578</v>
      </c>
      <c r="B2578" t="str">
        <f>"775 761 844 00080"</f>
        <v>775 761 844 00080</v>
      </c>
      <c r="D2578" t="str">
        <f>"CENTRE DE SANTE OXANCE OYONNAX"</f>
        <v>CENTRE DE SANTE OXANCE OYONNAX</v>
      </c>
      <c r="F2578" t="str">
        <f>"4 RUE DU CHEMIN DE FER"</f>
        <v>4 RUE DU CHEMIN DE FER</v>
      </c>
      <c r="H2578" t="str">
        <f>"01100"</f>
        <v>01100</v>
      </c>
      <c r="I2578" t="str">
        <f>"OYONNAX"</f>
        <v>OYONNAX</v>
      </c>
      <c r="J2578" t="str">
        <f>"04 74 73 71 51 "</f>
        <v xml:space="preserve">04 74 73 71 51 </v>
      </c>
      <c r="K2578" t="str">
        <f>"04 74 73 29 99"</f>
        <v>04 74 73 29 99</v>
      </c>
      <c r="L2578" s="1">
        <v>32448</v>
      </c>
      <c r="M2578" t="str">
        <f t="shared" si="389"/>
        <v>124</v>
      </c>
      <c r="N2578" t="str">
        <f t="shared" si="390"/>
        <v>Centre de Santé</v>
      </c>
      <c r="O2578" t="str">
        <f>"47"</f>
        <v>47</v>
      </c>
      <c r="P2578" t="str">
        <f>"Société Mutualiste"</f>
        <v>Société Mutualiste</v>
      </c>
      <c r="Q2578" t="str">
        <f t="shared" si="385"/>
        <v>36</v>
      </c>
      <c r="R2578" t="str">
        <f t="shared" si="386"/>
        <v>Tarifs conventionnels assurance maladie</v>
      </c>
      <c r="U2578" t="str">
        <f>"690048111"</f>
        <v>690048111</v>
      </c>
    </row>
    <row r="2579" spans="1:21" x14ac:dyDescent="0.3">
      <c r="A2579" t="str">
        <f>"120786785"</f>
        <v>120786785</v>
      </c>
      <c r="B2579" t="str">
        <f>"442 491 197 00202"</f>
        <v>442 491 197 00202</v>
      </c>
      <c r="D2579" t="str">
        <f>"CTRE SOINS INFIRM ST BEAUZELY UDSMA"</f>
        <v>CTRE SOINS INFIRM ST BEAUZELY UDSMA</v>
      </c>
      <c r="F2579" t="str">
        <f>"11 RESIDENCE 'LES GARDIES'"</f>
        <v>11 RESIDENCE 'LES GARDIES'</v>
      </c>
      <c r="H2579" t="str">
        <f>"12620"</f>
        <v>12620</v>
      </c>
      <c r="I2579" t="str">
        <f>"ST BEAUZELY"</f>
        <v>ST BEAUZELY</v>
      </c>
      <c r="J2579" t="str">
        <f>"05 65 62 02 23 "</f>
        <v xml:space="preserve">05 65 62 02 23 </v>
      </c>
      <c r="L2579" s="1">
        <v>32325</v>
      </c>
      <c r="M2579" t="str">
        <f t="shared" si="389"/>
        <v>124</v>
      </c>
      <c r="N2579" t="str">
        <f t="shared" si="390"/>
        <v>Centre de Santé</v>
      </c>
      <c r="O2579" t="str">
        <f>"47"</f>
        <v>47</v>
      </c>
      <c r="P2579" t="str">
        <f>"Société Mutualiste"</f>
        <v>Société Mutualiste</v>
      </c>
      <c r="Q2579" t="str">
        <f t="shared" si="385"/>
        <v>36</v>
      </c>
      <c r="R2579" t="str">
        <f t="shared" si="386"/>
        <v>Tarifs conventionnels assurance maladie</v>
      </c>
      <c r="U2579" t="str">
        <f>"120784616"</f>
        <v>120784616</v>
      </c>
    </row>
    <row r="2580" spans="1:21" x14ac:dyDescent="0.3">
      <c r="A2580" t="str">
        <f>"670782846"</f>
        <v>670782846</v>
      </c>
      <c r="B2580" t="str">
        <f>"327 047 981 00029"</f>
        <v>327 047 981 00029</v>
      </c>
      <c r="D2580" t="str">
        <f>"CTRE SOINS INF.DE SAVERNE ET ENV"</f>
        <v>CTRE SOINS INF.DE SAVERNE ET ENV</v>
      </c>
      <c r="F2580" t="str">
        <f>"8 RUE NEUVE"</f>
        <v>8 RUE NEUVE</v>
      </c>
      <c r="H2580" t="str">
        <f>"67700"</f>
        <v>67700</v>
      </c>
      <c r="I2580" t="str">
        <f>"SAVERNE"</f>
        <v>SAVERNE</v>
      </c>
      <c r="J2580" t="str">
        <f>"03 88 91 10 81 "</f>
        <v xml:space="preserve">03 88 91 10 81 </v>
      </c>
      <c r="K2580" t="str">
        <f>"09 70 62 31 50"</f>
        <v>09 70 62 31 50</v>
      </c>
      <c r="L2580" s="1">
        <v>32322</v>
      </c>
      <c r="M2580" t="str">
        <f t="shared" si="389"/>
        <v>124</v>
      </c>
      <c r="N2580" t="str">
        <f t="shared" si="390"/>
        <v>Centre de Santé</v>
      </c>
      <c r="O2580" t="str">
        <f>"62"</f>
        <v>62</v>
      </c>
      <c r="P2580" t="str">
        <f>"Association de Droit Local"</f>
        <v>Association de Droit Local</v>
      </c>
      <c r="Q2580" t="str">
        <f t="shared" si="385"/>
        <v>36</v>
      </c>
      <c r="R2580" t="str">
        <f t="shared" si="386"/>
        <v>Tarifs conventionnels assurance maladie</v>
      </c>
      <c r="U2580" t="str">
        <f>"670000751"</f>
        <v>670000751</v>
      </c>
    </row>
    <row r="2581" spans="1:21" x14ac:dyDescent="0.3">
      <c r="A2581" t="str">
        <f>"130808025"</f>
        <v>130808025</v>
      </c>
      <c r="D2581" t="str">
        <f>"CDS DENTAIRE OXANCE AUBAGNE"</f>
        <v>CDS DENTAIRE OXANCE AUBAGNE</v>
      </c>
      <c r="E2581" t="str">
        <f>"LE CAROUBIER ZAC CAMPAGNE MICHEL"</f>
        <v>LE CAROUBIER ZAC CAMPAGNE MICHEL</v>
      </c>
      <c r="F2581" t="str">
        <f>"AVENUE ROGER SALENGRO"</f>
        <v>AVENUE ROGER SALENGRO</v>
      </c>
      <c r="H2581" t="str">
        <f>"13400"</f>
        <v>13400</v>
      </c>
      <c r="I2581" t="str">
        <f>"AUBAGNE"</f>
        <v>AUBAGNE</v>
      </c>
      <c r="J2581" t="str">
        <f>"04 96 19 10 82 "</f>
        <v xml:space="preserve">04 96 19 10 82 </v>
      </c>
      <c r="L2581" s="1">
        <v>32307</v>
      </c>
      <c r="M2581" t="str">
        <f t="shared" si="389"/>
        <v>124</v>
      </c>
      <c r="N2581" t="str">
        <f t="shared" si="390"/>
        <v>Centre de Santé</v>
      </c>
      <c r="O2581" t="str">
        <f>"47"</f>
        <v>47</v>
      </c>
      <c r="P2581" t="str">
        <f>"Société Mutualiste"</f>
        <v>Société Mutualiste</v>
      </c>
      <c r="Q2581" t="str">
        <f t="shared" si="385"/>
        <v>36</v>
      </c>
      <c r="R2581" t="str">
        <f t="shared" si="386"/>
        <v>Tarifs conventionnels assurance maladie</v>
      </c>
      <c r="U2581" t="str">
        <f>"690048111"</f>
        <v>690048111</v>
      </c>
    </row>
    <row r="2582" spans="1:21" x14ac:dyDescent="0.3">
      <c r="A2582" t="str">
        <f>"920811809"</f>
        <v>920811809</v>
      </c>
      <c r="B2582" t="str">
        <f>"784 809 642 00324"</f>
        <v>784 809 642 00324</v>
      </c>
      <c r="D2582" t="str">
        <f>"CDS DENTAIRE DE L UMIF"</f>
        <v>CDS DENTAIRE DE L UMIF</v>
      </c>
      <c r="F2582" t="str">
        <f>"16 RUE DE LA GARE"</f>
        <v>16 RUE DE LA GARE</v>
      </c>
      <c r="H2582" t="str">
        <f>"92230"</f>
        <v>92230</v>
      </c>
      <c r="I2582" t="str">
        <f>"GENNEVILLIERS"</f>
        <v>GENNEVILLIERS</v>
      </c>
      <c r="J2582" t="str">
        <f>"01 47 90 30 57 "</f>
        <v xml:space="preserve">01 47 90 30 57 </v>
      </c>
      <c r="K2582" t="str">
        <f>"01 47 90 10 53"</f>
        <v>01 47 90 10 53</v>
      </c>
      <c r="L2582" s="1">
        <v>32264</v>
      </c>
      <c r="M2582" t="str">
        <f t="shared" si="389"/>
        <v>124</v>
      </c>
      <c r="N2582" t="str">
        <f t="shared" si="390"/>
        <v>Centre de Santé</v>
      </c>
      <c r="O2582" t="str">
        <f>"47"</f>
        <v>47</v>
      </c>
      <c r="P2582" t="str">
        <f>"Société Mutualiste"</f>
        <v>Société Mutualiste</v>
      </c>
      <c r="Q2582" t="str">
        <f t="shared" si="385"/>
        <v>36</v>
      </c>
      <c r="R2582" t="str">
        <f t="shared" si="386"/>
        <v>Tarifs conventionnels assurance maladie</v>
      </c>
      <c r="U2582" t="str">
        <f>"750814865"</f>
        <v>750814865</v>
      </c>
    </row>
    <row r="2583" spans="1:21" x14ac:dyDescent="0.3">
      <c r="A2583" t="str">
        <f>"670782119"</f>
        <v>670782119</v>
      </c>
      <c r="B2583" t="str">
        <f>"307 118 117 00059"</f>
        <v>307 118 117 00059</v>
      </c>
      <c r="D2583" t="str">
        <f>"CSI ASSOCIATION SANTE FAMILLE"</f>
        <v>CSI ASSOCIATION SANTE FAMILLE</v>
      </c>
      <c r="F2583" t="str">
        <f>"19 RUE DE LA CHAPELLE"</f>
        <v>19 RUE DE LA CHAPELLE</v>
      </c>
      <c r="H2583" t="str">
        <f>"67540"</f>
        <v>67540</v>
      </c>
      <c r="I2583" t="str">
        <f>"OSTWALD"</f>
        <v>OSTWALD</v>
      </c>
      <c r="J2583" t="str">
        <f>"03 88 30 50 66 "</f>
        <v xml:space="preserve">03 88 30 50 66 </v>
      </c>
      <c r="L2583" s="1">
        <v>32233</v>
      </c>
      <c r="M2583" t="str">
        <f t="shared" si="389"/>
        <v>124</v>
      </c>
      <c r="N2583" t="str">
        <f t="shared" si="390"/>
        <v>Centre de Santé</v>
      </c>
      <c r="O2583" t="str">
        <f>"62"</f>
        <v>62</v>
      </c>
      <c r="P2583" t="str">
        <f>"Association de Droit Local"</f>
        <v>Association de Droit Local</v>
      </c>
      <c r="Q2583" t="str">
        <f t="shared" si="385"/>
        <v>36</v>
      </c>
      <c r="R2583" t="str">
        <f t="shared" si="386"/>
        <v>Tarifs conventionnels assurance maladie</v>
      </c>
      <c r="U2583" t="str">
        <f>"670000678"</f>
        <v>670000678</v>
      </c>
    </row>
    <row r="2584" spans="1:21" x14ac:dyDescent="0.3">
      <c r="A2584" t="str">
        <f>"940002579"</f>
        <v>940002579</v>
      </c>
      <c r="B2584" t="str">
        <f>"219 400 025 00017"</f>
        <v>219 400 025 00017</v>
      </c>
      <c r="D2584" t="str">
        <f>"CDS MUNICIPAL D ALFORTVILLE"</f>
        <v>CDS MUNICIPAL D ALFORTVILLE</v>
      </c>
      <c r="F2584" t="str">
        <f>"54 RUE JULES GUESDE"</f>
        <v>54 RUE JULES GUESDE</v>
      </c>
      <c r="H2584" t="str">
        <f>"94140"</f>
        <v>94140</v>
      </c>
      <c r="I2584" t="str">
        <f>"ALFORTVILLE"</f>
        <v>ALFORTVILLE</v>
      </c>
      <c r="J2584" t="str">
        <f>"01 58 73 28 47 "</f>
        <v xml:space="preserve">01 58 73 28 47 </v>
      </c>
      <c r="K2584" t="str">
        <f>"01 58 73 27 12"</f>
        <v>01 58 73 27 12</v>
      </c>
      <c r="L2584" s="1">
        <v>32211</v>
      </c>
      <c r="M2584" t="str">
        <f t="shared" si="389"/>
        <v>124</v>
      </c>
      <c r="N2584" t="str">
        <f t="shared" si="390"/>
        <v>Centre de Santé</v>
      </c>
      <c r="O2584" t="str">
        <f>"03"</f>
        <v>03</v>
      </c>
      <c r="P2584" t="str">
        <f>"Commune"</f>
        <v>Commune</v>
      </c>
      <c r="Q2584" t="str">
        <f t="shared" si="385"/>
        <v>36</v>
      </c>
      <c r="R2584" t="str">
        <f t="shared" si="386"/>
        <v>Tarifs conventionnels assurance maladie</v>
      </c>
      <c r="U2584" t="str">
        <f>"940806359"</f>
        <v>940806359</v>
      </c>
    </row>
    <row r="2585" spans="1:21" x14ac:dyDescent="0.3">
      <c r="A2585" t="str">
        <f>"750826067"</f>
        <v>750826067</v>
      </c>
      <c r="B2585" t="str">
        <f>"313 524 753 00180"</f>
        <v>313 524 753 00180</v>
      </c>
      <c r="D2585" t="str">
        <f>"CDS DENTAIRE MAGENTA"</f>
        <v>CDS DENTAIRE MAGENTA</v>
      </c>
      <c r="F2585" t="str">
        <f>"124 BOULEVARD MAGENTA"</f>
        <v>124 BOULEVARD MAGENTA</v>
      </c>
      <c r="H2585" t="str">
        <f>"75010"</f>
        <v>75010</v>
      </c>
      <c r="I2585" t="str">
        <f>"PARIS"</f>
        <v>PARIS</v>
      </c>
      <c r="J2585" t="str">
        <f>"01 58 22 90 02 "</f>
        <v xml:space="preserve">01 58 22 90 02 </v>
      </c>
      <c r="K2585" t="str">
        <f>"01 58 22 90 08"</f>
        <v>01 58 22 90 08</v>
      </c>
      <c r="L2585" s="1">
        <v>32209</v>
      </c>
      <c r="M2585" t="str">
        <f t="shared" si="389"/>
        <v>124</v>
      </c>
      <c r="N2585" t="str">
        <f t="shared" si="390"/>
        <v>Centre de Santé</v>
      </c>
      <c r="O2585" t="str">
        <f>"60"</f>
        <v>60</v>
      </c>
      <c r="P2585" t="str">
        <f>"Association Loi 1901 non Reconnue d'Utilité Publique"</f>
        <v>Association Loi 1901 non Reconnue d'Utilité Publique</v>
      </c>
      <c r="Q2585" t="str">
        <f t="shared" si="385"/>
        <v>36</v>
      </c>
      <c r="R2585" t="str">
        <f t="shared" si="386"/>
        <v>Tarifs conventionnels assurance maladie</v>
      </c>
      <c r="U2585" t="str">
        <f>"750819583"</f>
        <v>750819583</v>
      </c>
    </row>
    <row r="2586" spans="1:21" x14ac:dyDescent="0.3">
      <c r="A2586" t="str">
        <f>"820005312"</f>
        <v>820005312</v>
      </c>
      <c r="B2586" t="str">
        <f>"312 215 114 00066"</f>
        <v>312 215 114 00066</v>
      </c>
      <c r="D2586" t="str">
        <f>"CENTRE DENTAIRE MUTUALISTE"</f>
        <v>CENTRE DENTAIRE MUTUALISTE</v>
      </c>
      <c r="F2586" t="str">
        <f>"15 ALLEE DE L'EMPEREUR"</f>
        <v>15 ALLEE DE L'EMPEREUR</v>
      </c>
      <c r="H2586" t="str">
        <f>"82000"</f>
        <v>82000</v>
      </c>
      <c r="I2586" t="str">
        <f>"MONTAUBAN"</f>
        <v>MONTAUBAN</v>
      </c>
      <c r="J2586" t="str">
        <f>"05 63 21 70 20 "</f>
        <v xml:space="preserve">05 63 21 70 20 </v>
      </c>
      <c r="K2586" t="str">
        <f>"05 63 21 70 29"</f>
        <v>05 63 21 70 29</v>
      </c>
      <c r="L2586" s="1">
        <v>32189</v>
      </c>
      <c r="M2586" t="str">
        <f t="shared" si="389"/>
        <v>124</v>
      </c>
      <c r="N2586" t="str">
        <f t="shared" si="390"/>
        <v>Centre de Santé</v>
      </c>
      <c r="O2586" t="str">
        <f>"47"</f>
        <v>47</v>
      </c>
      <c r="P2586" t="str">
        <f>"Société Mutualiste"</f>
        <v>Société Mutualiste</v>
      </c>
      <c r="Q2586" t="str">
        <f t="shared" si="385"/>
        <v>36</v>
      </c>
      <c r="R2586" t="str">
        <f t="shared" si="386"/>
        <v>Tarifs conventionnels assurance maladie</v>
      </c>
      <c r="U2586" t="str">
        <f>"820005304"</f>
        <v>820005304</v>
      </c>
    </row>
    <row r="2587" spans="1:21" x14ac:dyDescent="0.3">
      <c r="A2587" t="str">
        <f>"780803896"</f>
        <v>780803896</v>
      </c>
      <c r="B2587" t="str">
        <f>"350 425 740 00015"</f>
        <v>350 425 740 00015</v>
      </c>
      <c r="D2587" t="str">
        <f>"CDS MEDICAL FERNAND SASTRE"</f>
        <v>CDS MEDICAL FERNAND SASTRE</v>
      </c>
      <c r="F2587" t="str">
        <f>"DOMAINE DE MONTJOYE"</f>
        <v>DOMAINE DE MONTJOYE</v>
      </c>
      <c r="H2587" t="str">
        <f>"78120"</f>
        <v>78120</v>
      </c>
      <c r="I2587" t="str">
        <f>"CLAIREFONTAINE EN YVELINES"</f>
        <v>CLAIREFONTAINE EN YVELINES</v>
      </c>
      <c r="J2587" t="str">
        <f>"01 34 84 50 19 "</f>
        <v xml:space="preserve">01 34 84 50 19 </v>
      </c>
      <c r="K2587" t="str">
        <f>"01 34 84 53 05"</f>
        <v>01 34 84 53 05</v>
      </c>
      <c r="L2587" s="1">
        <v>32145</v>
      </c>
      <c r="M2587" t="str">
        <f t="shared" si="389"/>
        <v>124</v>
      </c>
      <c r="N2587" t="str">
        <f t="shared" si="390"/>
        <v>Centre de Santé</v>
      </c>
      <c r="O2587" t="str">
        <f>"60"</f>
        <v>60</v>
      </c>
      <c r="P2587" t="str">
        <f>"Association Loi 1901 non Reconnue d'Utilité Publique"</f>
        <v>Association Loi 1901 non Reconnue d'Utilité Publique</v>
      </c>
      <c r="Q2587" t="str">
        <f t="shared" si="385"/>
        <v>36</v>
      </c>
      <c r="R2587" t="str">
        <f t="shared" si="386"/>
        <v>Tarifs conventionnels assurance maladie</v>
      </c>
      <c r="U2587" t="str">
        <f>"780001095"</f>
        <v>780001095</v>
      </c>
    </row>
    <row r="2588" spans="1:21" x14ac:dyDescent="0.3">
      <c r="A2588" t="str">
        <f>"290020155"</f>
        <v>290020155</v>
      </c>
      <c r="D2588" t="str">
        <f>"CDS POINT H"</f>
        <v>CDS POINT H</v>
      </c>
      <c r="F2588" t="str">
        <f>"16 RUE ALEXANDRE RIBOT"</f>
        <v>16 RUE ALEXANDRE RIBOT</v>
      </c>
      <c r="H2588" t="str">
        <f>"29200"</f>
        <v>29200</v>
      </c>
      <c r="I2588" t="str">
        <f>"BREST"</f>
        <v>BREST</v>
      </c>
      <c r="J2588" t="str">
        <f>"02 98 44 63 11 "</f>
        <v xml:space="preserve">02 98 44 63 11 </v>
      </c>
      <c r="K2588" t="str">
        <f>"02 98 44 60 17"</f>
        <v>02 98 44 60 17</v>
      </c>
      <c r="L2588" s="1">
        <v>32143</v>
      </c>
      <c r="M2588" t="str">
        <f t="shared" si="389"/>
        <v>124</v>
      </c>
      <c r="N2588" t="str">
        <f t="shared" si="390"/>
        <v>Centre de Santé</v>
      </c>
      <c r="O2588" t="str">
        <f>"61"</f>
        <v>61</v>
      </c>
      <c r="P2588" t="str">
        <f>"Association Loi 1901 Reconnue d'Utilité Publique"</f>
        <v>Association Loi 1901 Reconnue d'Utilité Publique</v>
      </c>
      <c r="Q2588" t="str">
        <f t="shared" si="385"/>
        <v>36</v>
      </c>
      <c r="R2588" t="str">
        <f t="shared" si="386"/>
        <v>Tarifs conventionnels assurance maladie</v>
      </c>
      <c r="U2588" t="str">
        <f>"750721334"</f>
        <v>750721334</v>
      </c>
    </row>
    <row r="2589" spans="1:21" x14ac:dyDescent="0.3">
      <c r="A2589" t="str">
        <f>"570017889"</f>
        <v>570017889</v>
      </c>
      <c r="B2589" t="str">
        <f>"775 685 316 03474"</f>
        <v>775 685 316 03474</v>
      </c>
      <c r="D2589" t="str">
        <f>"CSP FILIERIS DE PETITE ROSSELLE"</f>
        <v>CSP FILIERIS DE PETITE ROSSELLE</v>
      </c>
      <c r="F2589" t="str">
        <f>"15 PLACE DE LA VICTOIRE"</f>
        <v>15 PLACE DE LA VICTOIRE</v>
      </c>
      <c r="H2589" t="str">
        <f>"57540"</f>
        <v>57540</v>
      </c>
      <c r="I2589" t="str">
        <f>"PETITE ROSSELLE"</f>
        <v>PETITE ROSSELLE</v>
      </c>
      <c r="J2589" t="str">
        <f>"03 87 87 58 80 "</f>
        <v xml:space="preserve">03 87 87 58 80 </v>
      </c>
      <c r="K2589" t="str">
        <f>"03 87 87 46 06"</f>
        <v>03 87 87 46 06</v>
      </c>
      <c r="L2589" s="1">
        <v>32143</v>
      </c>
      <c r="M2589" t="str">
        <f t="shared" si="389"/>
        <v>124</v>
      </c>
      <c r="N2589" t="str">
        <f t="shared" si="390"/>
        <v>Centre de Santé</v>
      </c>
      <c r="O2589" t="str">
        <f>"41"</f>
        <v>41</v>
      </c>
      <c r="P2589" t="str">
        <f>"Régime Spécial de Sécurité Sociale"</f>
        <v>Régime Spécial de Sécurité Sociale</v>
      </c>
      <c r="Q2589" t="str">
        <f t="shared" si="385"/>
        <v>36</v>
      </c>
      <c r="R2589" t="str">
        <f t="shared" si="386"/>
        <v>Tarifs conventionnels assurance maladie</v>
      </c>
      <c r="U2589" t="str">
        <f>"750050759"</f>
        <v>750050759</v>
      </c>
    </row>
    <row r="2590" spans="1:21" x14ac:dyDescent="0.3">
      <c r="A2590" t="str">
        <f>"590034716"</f>
        <v>590034716</v>
      </c>
      <c r="B2590" t="str">
        <f>"783 712 045 00153"</f>
        <v>783 712 045 00153</v>
      </c>
      <c r="D2590" t="str">
        <f>"CENTRE DE SANTE DENTAIRE"</f>
        <v>CENTRE DE SANTE DENTAIRE</v>
      </c>
      <c r="F2590" t="str">
        <f>"118 RUE DE DUNKERQUE"</f>
        <v>118 RUE DE DUNKERQUE</v>
      </c>
      <c r="H2590" t="str">
        <f>"59280"</f>
        <v>59280</v>
      </c>
      <c r="I2590" t="str">
        <f>"ARMENTIERES"</f>
        <v>ARMENTIERES</v>
      </c>
      <c r="J2590" t="str">
        <f>"03 20 17 68 45 "</f>
        <v xml:space="preserve">03 20 17 68 45 </v>
      </c>
      <c r="K2590" t="str">
        <f>"03 20 44 39 78"</f>
        <v>03 20 44 39 78</v>
      </c>
      <c r="L2590" s="1">
        <v>32143</v>
      </c>
      <c r="M2590" t="str">
        <f t="shared" si="389"/>
        <v>124</v>
      </c>
      <c r="N2590" t="str">
        <f t="shared" si="390"/>
        <v>Centre de Santé</v>
      </c>
      <c r="O2590" t="str">
        <f>"47"</f>
        <v>47</v>
      </c>
      <c r="P2590" t="str">
        <f>"Société Mutualiste"</f>
        <v>Société Mutualiste</v>
      </c>
      <c r="Q2590" t="str">
        <f t="shared" si="385"/>
        <v>36</v>
      </c>
      <c r="R2590" t="str">
        <f t="shared" si="386"/>
        <v>Tarifs conventionnels assurance maladie</v>
      </c>
      <c r="U2590" t="str">
        <f>"590024469"</f>
        <v>590024469</v>
      </c>
    </row>
    <row r="2591" spans="1:21" x14ac:dyDescent="0.3">
      <c r="A2591" t="str">
        <f>"2A0002689"</f>
        <v>2A0002689</v>
      </c>
      <c r="B2591" t="str">
        <f>"324 844 653 00117"</f>
        <v>324 844 653 00117</v>
      </c>
      <c r="D2591" t="str">
        <f>"CENTRE DE SANTE POLYVALENT"</f>
        <v>CENTRE DE SANTE POLYVALENT</v>
      </c>
      <c r="E2591" t="str">
        <f>"LA ROCADE"</f>
        <v>LA ROCADE</v>
      </c>
      <c r="F2591" t="str">
        <f>"BOULEVARD SEBASTIEN COSTA"</f>
        <v>BOULEVARD SEBASTIEN COSTA</v>
      </c>
      <c r="G2591" t="str">
        <f>"LA ROCADE"</f>
        <v>LA ROCADE</v>
      </c>
      <c r="H2591" t="str">
        <f>"20090"</f>
        <v>20090</v>
      </c>
      <c r="I2591" t="str">
        <f>"AJACCIO"</f>
        <v>AJACCIO</v>
      </c>
      <c r="J2591" t="str">
        <f>"04 95 23 12 64 "</f>
        <v xml:space="preserve">04 95 23 12 64 </v>
      </c>
      <c r="L2591" s="1">
        <v>32070</v>
      </c>
      <c r="M2591" t="str">
        <f t="shared" si="389"/>
        <v>124</v>
      </c>
      <c r="N2591" t="str">
        <f t="shared" si="390"/>
        <v>Centre de Santé</v>
      </c>
      <c r="O2591" t="str">
        <f>"47"</f>
        <v>47</v>
      </c>
      <c r="P2591" t="str">
        <f>"Société Mutualiste"</f>
        <v>Société Mutualiste</v>
      </c>
      <c r="Q2591" t="str">
        <f t="shared" si="385"/>
        <v>36</v>
      </c>
      <c r="R2591" t="str">
        <f t="shared" si="386"/>
        <v>Tarifs conventionnels assurance maladie</v>
      </c>
      <c r="U2591" t="str">
        <f>"2A0001848"</f>
        <v>2A0001848</v>
      </c>
    </row>
    <row r="2592" spans="1:21" x14ac:dyDescent="0.3">
      <c r="A2592" t="str">
        <f>"290009604"</f>
        <v>290009604</v>
      </c>
      <c r="B2592" t="str">
        <f>"342 608 379 00034"</f>
        <v>342 608 379 00034</v>
      </c>
      <c r="D2592" t="str">
        <f>"CDS INFIRMIER DE PONT-L'ABBE"</f>
        <v>CDS INFIRMIER DE PONT-L'ABBE</v>
      </c>
      <c r="F2592" t="str">
        <f>"2 ENCLOS DE KERENTREE"</f>
        <v>2 ENCLOS DE KERENTREE</v>
      </c>
      <c r="H2592" t="str">
        <f>"29120"</f>
        <v>29120</v>
      </c>
      <c r="I2592" t="str">
        <f>"PONT L ABBE"</f>
        <v>PONT L ABBE</v>
      </c>
      <c r="J2592" t="str">
        <f>"02 98 87 02 36 "</f>
        <v xml:space="preserve">02 98 87 02 36 </v>
      </c>
      <c r="L2592" s="1">
        <v>32051</v>
      </c>
      <c r="M2592" t="str">
        <f t="shared" si="389"/>
        <v>124</v>
      </c>
      <c r="N2592" t="str">
        <f t="shared" si="390"/>
        <v>Centre de Santé</v>
      </c>
      <c r="O2592" t="str">
        <f>"61"</f>
        <v>61</v>
      </c>
      <c r="P2592" t="str">
        <f>"Association Loi 1901 Reconnue d'Utilité Publique"</f>
        <v>Association Loi 1901 Reconnue d'Utilité Publique</v>
      </c>
      <c r="Q2592" t="str">
        <f t="shared" si="385"/>
        <v>36</v>
      </c>
      <c r="R2592" t="str">
        <f t="shared" si="386"/>
        <v>Tarifs conventionnels assurance maladie</v>
      </c>
      <c r="U2592" t="str">
        <f>"290009596"</f>
        <v>290009596</v>
      </c>
    </row>
    <row r="2593" spans="1:21" x14ac:dyDescent="0.3">
      <c r="A2593" t="str">
        <f>"570003145"</f>
        <v>570003145</v>
      </c>
      <c r="B2593" t="str">
        <f>"515 260 883 00027"</f>
        <v>515 260 883 00027</v>
      </c>
      <c r="D2593" t="str">
        <f>"CLINIQUE DENTAIRE DE LA CPAM"</f>
        <v>CLINIQUE DENTAIRE DE LA CPAM</v>
      </c>
      <c r="F2593" t="str">
        <f>"19 RUE GEIGER"</f>
        <v>19 RUE GEIGER</v>
      </c>
      <c r="H2593" t="str">
        <f>"57219"</f>
        <v>57219</v>
      </c>
      <c r="I2593" t="str">
        <f>"SARREGUEMINES CEDEX"</f>
        <v>SARREGUEMINES CEDEX</v>
      </c>
      <c r="J2593" t="str">
        <f>"03 87 95 80 22 "</f>
        <v xml:space="preserve">03 87 95 80 22 </v>
      </c>
      <c r="L2593" s="1">
        <v>31971</v>
      </c>
      <c r="M2593" t="str">
        <f t="shared" si="389"/>
        <v>124</v>
      </c>
      <c r="N2593" t="str">
        <f t="shared" si="390"/>
        <v>Centre de Santé</v>
      </c>
      <c r="O2593" t="str">
        <f>"40"</f>
        <v>40</v>
      </c>
      <c r="P2593" t="str">
        <f>"Régime Général de Sécurité Sociale"</f>
        <v>Régime Général de Sécurité Sociale</v>
      </c>
      <c r="Q2593" t="str">
        <f t="shared" si="385"/>
        <v>36</v>
      </c>
      <c r="R2593" t="str">
        <f t="shared" si="386"/>
        <v>Tarifs conventionnels assurance maladie</v>
      </c>
      <c r="U2593" t="str">
        <f>"570010439"</f>
        <v>570010439</v>
      </c>
    </row>
    <row r="2594" spans="1:21" x14ac:dyDescent="0.3">
      <c r="A2594" t="str">
        <f>"760915215"</f>
        <v>760915215</v>
      </c>
      <c r="B2594" t="str">
        <f>"794 994 277 01412"</f>
        <v>794 994 277 01412</v>
      </c>
      <c r="D2594" t="str">
        <f>"CLINIQUE DENTAIRE MUTUALISTE BARENTIN"</f>
        <v>CLINIQUE DENTAIRE MUTUALISTE BARENTIN</v>
      </c>
      <c r="F2594" t="str">
        <f>"2 RUE SAINT-HELIER"</f>
        <v>2 RUE SAINT-HELIER</v>
      </c>
      <c r="H2594" t="str">
        <f>"76360"</f>
        <v>76360</v>
      </c>
      <c r="I2594" t="str">
        <f>"BARENTIN"</f>
        <v>BARENTIN</v>
      </c>
      <c r="J2594" t="str">
        <f>"02 32 94 94 80 "</f>
        <v xml:space="preserve">02 32 94 94 80 </v>
      </c>
      <c r="L2594" s="1">
        <v>31951</v>
      </c>
      <c r="M2594" t="str">
        <f t="shared" si="389"/>
        <v>124</v>
      </c>
      <c r="N2594" t="str">
        <f t="shared" si="390"/>
        <v>Centre de Santé</v>
      </c>
      <c r="O2594" t="str">
        <f>"47"</f>
        <v>47</v>
      </c>
      <c r="P2594" t="str">
        <f>"Société Mutualiste"</f>
        <v>Société Mutualiste</v>
      </c>
      <c r="Q2594" t="str">
        <f t="shared" si="385"/>
        <v>36</v>
      </c>
      <c r="R2594" t="str">
        <f t="shared" si="386"/>
        <v>Tarifs conventionnels assurance maladie</v>
      </c>
      <c r="U2594" t="str">
        <f>"760000539"</f>
        <v>760000539</v>
      </c>
    </row>
    <row r="2595" spans="1:21" x14ac:dyDescent="0.3">
      <c r="A2595" t="str">
        <f>"120785506"</f>
        <v>120785506</v>
      </c>
      <c r="B2595" t="str">
        <f>"442 491 197 00194"</f>
        <v>442 491 197 00194</v>
      </c>
      <c r="D2595" t="str">
        <f>"CABINET DENT MUTUALISTE ST AFFRIQUE"</f>
        <v>CABINET DENT MUTUALISTE ST AFFRIQUE</v>
      </c>
      <c r="E2595" t="str">
        <f>"APPT 1"</f>
        <v>APPT 1</v>
      </c>
      <c r="F2595" t="str">
        <f>"23 PLACE DE LA LIBERTE"</f>
        <v>23 PLACE DE LA LIBERTE</v>
      </c>
      <c r="H2595" t="str">
        <f>"12400"</f>
        <v>12400</v>
      </c>
      <c r="I2595" t="str">
        <f>"ST AFFRIQUE"</f>
        <v>ST AFFRIQUE</v>
      </c>
      <c r="J2595" t="str">
        <f>"05 65 98 14 45 "</f>
        <v xml:space="preserve">05 65 98 14 45 </v>
      </c>
      <c r="L2595" s="1">
        <v>31871</v>
      </c>
      <c r="M2595" t="str">
        <f t="shared" si="389"/>
        <v>124</v>
      </c>
      <c r="N2595" t="str">
        <f t="shared" si="390"/>
        <v>Centre de Santé</v>
      </c>
      <c r="O2595" t="str">
        <f>"47"</f>
        <v>47</v>
      </c>
      <c r="P2595" t="str">
        <f>"Société Mutualiste"</f>
        <v>Société Mutualiste</v>
      </c>
      <c r="Q2595" t="str">
        <f t="shared" si="385"/>
        <v>36</v>
      </c>
      <c r="R2595" t="str">
        <f t="shared" si="386"/>
        <v>Tarifs conventionnels assurance maladie</v>
      </c>
      <c r="U2595" t="str">
        <f>"120784616"</f>
        <v>120784616</v>
      </c>
    </row>
    <row r="2596" spans="1:21" x14ac:dyDescent="0.3">
      <c r="A2596" t="str">
        <f>"310791231"</f>
        <v>310791231</v>
      </c>
      <c r="B2596" t="str">
        <f>"443 073 242 00010"</f>
        <v>443 073 242 00010</v>
      </c>
      <c r="D2596" t="str">
        <f>"CABINET DENTAIRE TOULOUSE MATABIAU"</f>
        <v>CABINET DENTAIRE TOULOUSE MATABIAU</v>
      </c>
      <c r="F2596" t="str">
        <f>"70 BOULEVARD MATABIAU"</f>
        <v>70 BOULEVARD MATABIAU</v>
      </c>
      <c r="G2596" t="str">
        <f>"BP 7051"</f>
        <v>BP 7051</v>
      </c>
      <c r="H2596" t="str">
        <f>"31069"</f>
        <v>31069</v>
      </c>
      <c r="I2596" t="str">
        <f>"TOULOUSE CEDEX 7"</f>
        <v>TOULOUSE CEDEX 7</v>
      </c>
      <c r="J2596" t="str">
        <f>"05 62 73 33 60 "</f>
        <v xml:space="preserve">05 62 73 33 60 </v>
      </c>
      <c r="L2596" s="1">
        <v>31852</v>
      </c>
      <c r="M2596" t="str">
        <f t="shared" si="389"/>
        <v>124</v>
      </c>
      <c r="N2596" t="str">
        <f t="shared" si="390"/>
        <v>Centre de Santé</v>
      </c>
      <c r="O2596" t="str">
        <f>"47"</f>
        <v>47</v>
      </c>
      <c r="P2596" t="str">
        <f>"Société Mutualiste"</f>
        <v>Société Mutualiste</v>
      </c>
      <c r="Q2596" t="str">
        <f t="shared" si="385"/>
        <v>36</v>
      </c>
      <c r="R2596" t="str">
        <f t="shared" si="386"/>
        <v>Tarifs conventionnels assurance maladie</v>
      </c>
      <c r="U2596" t="str">
        <f>"310791223"</f>
        <v>310791223</v>
      </c>
    </row>
    <row r="2597" spans="1:21" x14ac:dyDescent="0.3">
      <c r="A2597" t="str">
        <f>"310791256"</f>
        <v>310791256</v>
      </c>
      <c r="B2597" t="str">
        <f>"444 607 998 00010"</f>
        <v>444 607 998 00010</v>
      </c>
      <c r="D2597" t="str">
        <f>"CABINET DENTAIRE PREVIFRANCE"</f>
        <v>CABINET DENTAIRE PREVIFRANCE</v>
      </c>
      <c r="F2597" t="str">
        <f>"24 BOULEVARD BONREPOS"</f>
        <v>24 BOULEVARD BONREPOS</v>
      </c>
      <c r="H2597" t="str">
        <f>"31070"</f>
        <v>31070</v>
      </c>
      <c r="I2597" t="str">
        <f>"TOULOUSE CEDEX 7"</f>
        <v>TOULOUSE CEDEX 7</v>
      </c>
      <c r="J2597" t="str">
        <f>"05 61 10 55 46 "</f>
        <v xml:space="preserve">05 61 10 55 46 </v>
      </c>
      <c r="L2597" s="1">
        <v>31852</v>
      </c>
      <c r="M2597" t="str">
        <f t="shared" si="389"/>
        <v>124</v>
      </c>
      <c r="N2597" t="str">
        <f t="shared" si="390"/>
        <v>Centre de Santé</v>
      </c>
      <c r="O2597" t="str">
        <f>"47"</f>
        <v>47</v>
      </c>
      <c r="P2597" t="str">
        <f>"Société Mutualiste"</f>
        <v>Société Mutualiste</v>
      </c>
      <c r="Q2597" t="str">
        <f t="shared" si="385"/>
        <v>36</v>
      </c>
      <c r="R2597" t="str">
        <f t="shared" si="386"/>
        <v>Tarifs conventionnels assurance maladie</v>
      </c>
      <c r="U2597" t="str">
        <f>"310791249"</f>
        <v>310791249</v>
      </c>
    </row>
    <row r="2598" spans="1:21" x14ac:dyDescent="0.3">
      <c r="A2598" t="str">
        <f>"020018123"</f>
        <v>020018123</v>
      </c>
      <c r="B2598" t="str">
        <f>"340 630 060 00010"</f>
        <v>340 630 060 00010</v>
      </c>
      <c r="D2598" t="str">
        <f>"ASSOCIATION A.R.I.M.S."</f>
        <v>ASSOCIATION A.R.I.M.S.</v>
      </c>
      <c r="F2598" t="str">
        <f>"1 BOULEVARD DU 32ÈME RÉGT D'INFANTERIE"</f>
        <v>1 BOULEVARD DU 32ÈME RÉGT D'INFANTERIE</v>
      </c>
      <c r="H2598" t="str">
        <f>"02700"</f>
        <v>02700</v>
      </c>
      <c r="I2598" t="str">
        <f>"TERGNIER"</f>
        <v>TERGNIER</v>
      </c>
      <c r="J2598" t="str">
        <f>"03 23 37 07 55 "</f>
        <v xml:space="preserve">03 23 37 07 55 </v>
      </c>
      <c r="L2598" s="1">
        <v>31834</v>
      </c>
      <c r="M2598" t="str">
        <f t="shared" si="389"/>
        <v>124</v>
      </c>
      <c r="N2598" t="str">
        <f t="shared" si="390"/>
        <v>Centre de Santé</v>
      </c>
      <c r="O2598" t="str">
        <f>"60"</f>
        <v>60</v>
      </c>
      <c r="P2598" t="str">
        <f>"Association Loi 1901 non Reconnue d'Utilité Publique"</f>
        <v>Association Loi 1901 non Reconnue d'Utilité Publique</v>
      </c>
      <c r="Q2598" t="str">
        <f>"99"</f>
        <v>99</v>
      </c>
      <c r="R2598" t="str">
        <f>"Indéterminé"</f>
        <v>Indéterminé</v>
      </c>
      <c r="U2598" t="str">
        <f>"020018115"</f>
        <v>020018115</v>
      </c>
    </row>
    <row r="2599" spans="1:21" x14ac:dyDescent="0.3">
      <c r="A2599" t="str">
        <f>"590805644"</f>
        <v>590805644</v>
      </c>
      <c r="B2599" t="str">
        <f>"331 232 611 00037"</f>
        <v>331 232 611 00037</v>
      </c>
      <c r="D2599" t="str">
        <f>"CENTRE DE SOINS MEDICAUX"</f>
        <v>CENTRE DE SOINS MEDICAUX</v>
      </c>
      <c r="F2599" t="str">
        <f>"25 PAVE DU MOULIN"</f>
        <v>25 PAVE DU MOULIN</v>
      </c>
      <c r="H2599" t="str">
        <f>"59260"</f>
        <v>59260</v>
      </c>
      <c r="I2599" t="str">
        <f>"LILLE"</f>
        <v>LILLE</v>
      </c>
      <c r="J2599" t="str">
        <f>"03 20 05 85 00 "</f>
        <v xml:space="preserve">03 20 05 85 00 </v>
      </c>
      <c r="L2599" s="1">
        <v>31778</v>
      </c>
      <c r="M2599" t="str">
        <f t="shared" si="389"/>
        <v>124</v>
      </c>
      <c r="N2599" t="str">
        <f t="shared" si="390"/>
        <v>Centre de Santé</v>
      </c>
      <c r="O2599" t="str">
        <f>"60"</f>
        <v>60</v>
      </c>
      <c r="P2599" t="str">
        <f>"Association Loi 1901 non Reconnue d'Utilité Publique"</f>
        <v>Association Loi 1901 non Reconnue d'Utilité Publique</v>
      </c>
      <c r="Q2599" t="str">
        <f t="shared" ref="Q2599:Q2662" si="391">"36"</f>
        <v>36</v>
      </c>
      <c r="R2599" t="str">
        <f t="shared" ref="R2599:R2662" si="392">"Tarifs conventionnels assurance maladie"</f>
        <v>Tarifs conventionnels assurance maladie</v>
      </c>
      <c r="U2599" t="str">
        <f>"590805628"</f>
        <v>590805628</v>
      </c>
    </row>
    <row r="2600" spans="1:21" x14ac:dyDescent="0.3">
      <c r="A2600" t="str">
        <f>"690005848"</f>
        <v>690005848</v>
      </c>
      <c r="B2600" t="str">
        <f>"340 796 051 00019"</f>
        <v>340 796 051 00019</v>
      </c>
      <c r="D2600" t="str">
        <f>"CENTRE DE SANTE ASSIC CHASSIEU"</f>
        <v>CENTRE DE SANTE ASSIC CHASSIEU</v>
      </c>
      <c r="F2600" t="str">
        <f>"29 RUE AUGUSTE DELAGE"</f>
        <v>29 RUE AUGUSTE DELAGE</v>
      </c>
      <c r="H2600" t="str">
        <f>"69680"</f>
        <v>69680</v>
      </c>
      <c r="I2600" t="str">
        <f>"CHASSIEU"</f>
        <v>CHASSIEU</v>
      </c>
      <c r="J2600" t="str">
        <f>"04 78 49 84 16 "</f>
        <v xml:space="preserve">04 78 49 84 16 </v>
      </c>
      <c r="K2600" t="str">
        <f>"04 72 05 71 92"</f>
        <v>04 72 05 71 92</v>
      </c>
      <c r="L2600" s="1">
        <v>31778</v>
      </c>
      <c r="M2600" t="str">
        <f t="shared" si="389"/>
        <v>124</v>
      </c>
      <c r="N2600" t="str">
        <f t="shared" si="390"/>
        <v>Centre de Santé</v>
      </c>
      <c r="O2600" t="str">
        <f>"60"</f>
        <v>60</v>
      </c>
      <c r="P2600" t="str">
        <f>"Association Loi 1901 non Reconnue d'Utilité Publique"</f>
        <v>Association Loi 1901 non Reconnue d'Utilité Publique</v>
      </c>
      <c r="Q2600" t="str">
        <f t="shared" si="391"/>
        <v>36</v>
      </c>
      <c r="R2600" t="str">
        <f t="shared" si="392"/>
        <v>Tarifs conventionnels assurance maladie</v>
      </c>
      <c r="U2600" t="str">
        <f>"690798038"</f>
        <v>690798038</v>
      </c>
    </row>
    <row r="2601" spans="1:21" x14ac:dyDescent="0.3">
      <c r="A2601" t="str">
        <f>"150782670"</f>
        <v>150782670</v>
      </c>
      <c r="B2601" t="str">
        <f>"779 076 504 00082"</f>
        <v>779 076 504 00082</v>
      </c>
      <c r="D2601" t="str">
        <f>"CENTRE DE SANTE DENTAIRE MUTUALISTE"</f>
        <v>CENTRE DE SANTE DENTAIRE MUTUALISTE</v>
      </c>
      <c r="F2601" t="str">
        <f>"2 RUE DU VIADUC"</f>
        <v>2 RUE DU VIADUC</v>
      </c>
      <c r="H2601" t="str">
        <f>"15000"</f>
        <v>15000</v>
      </c>
      <c r="I2601" t="str">
        <f>"AURILLAC"</f>
        <v>AURILLAC</v>
      </c>
      <c r="J2601" t="str">
        <f>"04 71 64 84 92 "</f>
        <v xml:space="preserve">04 71 64 84 92 </v>
      </c>
      <c r="K2601" t="str">
        <f>"04 71 43 58 39"</f>
        <v>04 71 43 58 39</v>
      </c>
      <c r="L2601" s="1">
        <v>31747</v>
      </c>
      <c r="M2601" t="str">
        <f t="shared" si="389"/>
        <v>124</v>
      </c>
      <c r="N2601" t="str">
        <f t="shared" si="390"/>
        <v>Centre de Santé</v>
      </c>
      <c r="O2601" t="str">
        <f>"47"</f>
        <v>47</v>
      </c>
      <c r="P2601" t="str">
        <f>"Société Mutualiste"</f>
        <v>Société Mutualiste</v>
      </c>
      <c r="Q2601" t="str">
        <f t="shared" si="391"/>
        <v>36</v>
      </c>
      <c r="R2601" t="str">
        <f t="shared" si="392"/>
        <v>Tarifs conventionnels assurance maladie</v>
      </c>
      <c r="U2601" t="str">
        <f>"150782662"</f>
        <v>150782662</v>
      </c>
    </row>
    <row r="2602" spans="1:21" x14ac:dyDescent="0.3">
      <c r="A2602" t="str">
        <f>"060792876"</f>
        <v>060792876</v>
      </c>
      <c r="D2602" t="str">
        <f>"CDS DENTAIRE OXANCE MENTON"</f>
        <v>CDS DENTAIRE OXANCE MENTON</v>
      </c>
      <c r="F2602" t="str">
        <f>"1 RUE PRATO"</f>
        <v>1 RUE PRATO</v>
      </c>
      <c r="H2602" t="str">
        <f>"06500"</f>
        <v>06500</v>
      </c>
      <c r="I2602" t="str">
        <f>"MENTON"</f>
        <v>MENTON</v>
      </c>
      <c r="J2602" t="str">
        <f>"04 93 35 36 12 "</f>
        <v xml:space="preserve">04 93 35 36 12 </v>
      </c>
      <c r="K2602" t="str">
        <f>"04 93 28 43 26"</f>
        <v>04 93 28 43 26</v>
      </c>
      <c r="L2602" s="1">
        <v>31720</v>
      </c>
      <c r="M2602" t="str">
        <f t="shared" si="389"/>
        <v>124</v>
      </c>
      <c r="N2602" t="str">
        <f t="shared" si="390"/>
        <v>Centre de Santé</v>
      </c>
      <c r="O2602" t="str">
        <f>"47"</f>
        <v>47</v>
      </c>
      <c r="P2602" t="str">
        <f>"Société Mutualiste"</f>
        <v>Société Mutualiste</v>
      </c>
      <c r="Q2602" t="str">
        <f t="shared" si="391"/>
        <v>36</v>
      </c>
      <c r="R2602" t="str">
        <f t="shared" si="392"/>
        <v>Tarifs conventionnels assurance maladie</v>
      </c>
      <c r="U2602" t="str">
        <f>"690048111"</f>
        <v>690048111</v>
      </c>
    </row>
    <row r="2603" spans="1:21" x14ac:dyDescent="0.3">
      <c r="A2603" t="str">
        <f>"910010156"</f>
        <v>910010156</v>
      </c>
      <c r="B2603" t="str">
        <f>"180 090 060 01052"</f>
        <v>180 090 060 01052</v>
      </c>
      <c r="D2603" t="str">
        <f>"CDS MEDICAL ET DENTAIRE IGESA SACLAY"</f>
        <v>CDS MEDICAL ET DENTAIRE IGESA SACLAY</v>
      </c>
      <c r="F2603" t="str">
        <f>"10 RUE JEAN ROSTAND"</f>
        <v>10 RUE JEAN ROSTAND</v>
      </c>
      <c r="H2603" t="str">
        <f>"91400"</f>
        <v>91400</v>
      </c>
      <c r="I2603" t="str">
        <f>"SACLAY"</f>
        <v>SACLAY</v>
      </c>
      <c r="J2603" t="str">
        <f>"01 69 85 07 27 "</f>
        <v xml:space="preserve">01 69 85 07 27 </v>
      </c>
      <c r="L2603" s="1">
        <v>31717</v>
      </c>
      <c r="M2603" t="str">
        <f t="shared" si="389"/>
        <v>124</v>
      </c>
      <c r="N2603" t="str">
        <f t="shared" si="390"/>
        <v>Centre de Santé</v>
      </c>
      <c r="O2603" t="str">
        <f>"01"</f>
        <v>01</v>
      </c>
      <c r="P2603" t="str">
        <f>"Etat"</f>
        <v>Etat</v>
      </c>
      <c r="Q2603" t="str">
        <f t="shared" si="391"/>
        <v>36</v>
      </c>
      <c r="R2603" t="str">
        <f t="shared" si="392"/>
        <v>Tarifs conventionnels assurance maladie</v>
      </c>
      <c r="U2603" t="str">
        <f>"750720435"</f>
        <v>750720435</v>
      </c>
    </row>
    <row r="2604" spans="1:21" x14ac:dyDescent="0.3">
      <c r="A2604" t="str">
        <f>"130802515"</f>
        <v>130802515</v>
      </c>
      <c r="D2604" t="str">
        <f>"CDS DENTAIRE OXANCE D'ARLES"</f>
        <v>CDS DENTAIRE OXANCE D'ARLES</v>
      </c>
      <c r="F2604" t="str">
        <f>"65 RUE PORTAGNEL"</f>
        <v>65 RUE PORTAGNEL</v>
      </c>
      <c r="H2604" t="str">
        <f>"13200"</f>
        <v>13200</v>
      </c>
      <c r="I2604" t="str">
        <f>"ARLES"</f>
        <v>ARLES</v>
      </c>
      <c r="J2604" t="str">
        <f>"04 90 18 80 30 "</f>
        <v xml:space="preserve">04 90 18 80 30 </v>
      </c>
      <c r="L2604" s="1">
        <v>31656</v>
      </c>
      <c r="M2604" t="str">
        <f t="shared" si="389"/>
        <v>124</v>
      </c>
      <c r="N2604" t="str">
        <f t="shared" si="390"/>
        <v>Centre de Santé</v>
      </c>
      <c r="O2604" t="str">
        <f>"47"</f>
        <v>47</v>
      </c>
      <c r="P2604" t="str">
        <f>"Société Mutualiste"</f>
        <v>Société Mutualiste</v>
      </c>
      <c r="Q2604" t="str">
        <f t="shared" si="391"/>
        <v>36</v>
      </c>
      <c r="R2604" t="str">
        <f t="shared" si="392"/>
        <v>Tarifs conventionnels assurance maladie</v>
      </c>
      <c r="U2604" t="str">
        <f>"690048111"</f>
        <v>690048111</v>
      </c>
    </row>
    <row r="2605" spans="1:21" x14ac:dyDescent="0.3">
      <c r="A2605" t="str">
        <f>"760914176"</f>
        <v>760914176</v>
      </c>
      <c r="B2605" t="str">
        <f>"794 994 277 01008"</f>
        <v>794 994 277 01008</v>
      </c>
      <c r="D2605" t="str">
        <f>"CLINIQUE DENTAIRE MUTUALISTE"</f>
        <v>CLINIQUE DENTAIRE MUTUALISTE</v>
      </c>
      <c r="F2605" t="str">
        <f>"31 AVENUE DES CANADIENS"</f>
        <v>31 AVENUE DES CANADIENS</v>
      </c>
      <c r="H2605" t="str">
        <f>"76800"</f>
        <v>76800</v>
      </c>
      <c r="I2605" t="str">
        <f>"ST ETIENNE DU ROUVRAY"</f>
        <v>ST ETIENNE DU ROUVRAY</v>
      </c>
      <c r="J2605" t="str">
        <f>"02 32 95 82 20 "</f>
        <v xml:space="preserve">02 32 95 82 20 </v>
      </c>
      <c r="L2605" s="1">
        <v>31656</v>
      </c>
      <c r="M2605" t="str">
        <f t="shared" si="389"/>
        <v>124</v>
      </c>
      <c r="N2605" t="str">
        <f t="shared" si="390"/>
        <v>Centre de Santé</v>
      </c>
      <c r="O2605" t="str">
        <f>"47"</f>
        <v>47</v>
      </c>
      <c r="P2605" t="str">
        <f>"Société Mutualiste"</f>
        <v>Société Mutualiste</v>
      </c>
      <c r="Q2605" t="str">
        <f t="shared" si="391"/>
        <v>36</v>
      </c>
      <c r="R2605" t="str">
        <f t="shared" si="392"/>
        <v>Tarifs conventionnels assurance maladie</v>
      </c>
      <c r="U2605" t="str">
        <f>"760000539"</f>
        <v>760000539</v>
      </c>
    </row>
    <row r="2606" spans="1:21" x14ac:dyDescent="0.3">
      <c r="A2606" t="str">
        <f>"870006863"</f>
        <v>870006863</v>
      </c>
      <c r="B2606" t="str">
        <f>"775 716 673 00147"</f>
        <v>775 716 673 00147</v>
      </c>
      <c r="D2606" t="str">
        <f>"CABINET DENTAIRE MUTUALISTE"</f>
        <v>CABINET DENTAIRE MUTUALISTE</v>
      </c>
      <c r="F2606" t="str">
        <f>"13 RUE LAMARTINE"</f>
        <v>13 RUE LAMARTINE</v>
      </c>
      <c r="H2606" t="str">
        <f>"87300"</f>
        <v>87300</v>
      </c>
      <c r="I2606" t="str">
        <f>"BELLAC"</f>
        <v>BELLAC</v>
      </c>
      <c r="J2606" t="str">
        <f>"05 55 68 74 84 "</f>
        <v xml:space="preserve">05 55 68 74 84 </v>
      </c>
      <c r="L2606" s="1">
        <v>31565</v>
      </c>
      <c r="M2606" t="str">
        <f t="shared" si="389"/>
        <v>124</v>
      </c>
      <c r="N2606" t="str">
        <f t="shared" si="390"/>
        <v>Centre de Santé</v>
      </c>
      <c r="O2606" t="str">
        <f>"47"</f>
        <v>47</v>
      </c>
      <c r="P2606" t="str">
        <f>"Société Mutualiste"</f>
        <v>Société Mutualiste</v>
      </c>
      <c r="Q2606" t="str">
        <f t="shared" si="391"/>
        <v>36</v>
      </c>
      <c r="R2606" t="str">
        <f t="shared" si="392"/>
        <v>Tarifs conventionnels assurance maladie</v>
      </c>
      <c r="U2606" t="str">
        <f>"870016722"</f>
        <v>870016722</v>
      </c>
    </row>
    <row r="2607" spans="1:21" x14ac:dyDescent="0.3">
      <c r="A2607" t="str">
        <f>"280000555"</f>
        <v>280000555</v>
      </c>
      <c r="B2607" t="str">
        <f>"312 033 681 00015"</f>
        <v>312 033 681 00015</v>
      </c>
      <c r="D2607" t="str">
        <f>"CENTRE SOINS INFIRMIERS 'A. D. M. R. '"</f>
        <v>CENTRE SOINS INFIRMIERS 'A. D. M. R. '</v>
      </c>
      <c r="F2607" t="str">
        <f>"31 RUE MAIL DU JEU DE PAUME"</f>
        <v>31 RUE MAIL DU JEU DE PAUME</v>
      </c>
      <c r="H2607" t="str">
        <f>"28310"</f>
        <v>28310</v>
      </c>
      <c r="I2607" t="str">
        <f>"JANVILLE EN BEAUCE"</f>
        <v>JANVILLE EN BEAUCE</v>
      </c>
      <c r="J2607" t="str">
        <f>"02 37 90 00 69 "</f>
        <v xml:space="preserve">02 37 90 00 69 </v>
      </c>
      <c r="K2607" t="str">
        <f>"02 37 90 19 69"</f>
        <v>02 37 90 19 69</v>
      </c>
      <c r="L2607" s="1">
        <v>31564</v>
      </c>
      <c r="M2607" t="str">
        <f t="shared" si="389"/>
        <v>124</v>
      </c>
      <c r="N2607" t="str">
        <f t="shared" si="390"/>
        <v>Centre de Santé</v>
      </c>
      <c r="O2607" t="str">
        <f>"60"</f>
        <v>60</v>
      </c>
      <c r="P2607" t="str">
        <f>"Association Loi 1901 non Reconnue d'Utilité Publique"</f>
        <v>Association Loi 1901 non Reconnue d'Utilité Publique</v>
      </c>
      <c r="Q2607" t="str">
        <f t="shared" si="391"/>
        <v>36</v>
      </c>
      <c r="R2607" t="str">
        <f t="shared" si="392"/>
        <v>Tarifs conventionnels assurance maladie</v>
      </c>
      <c r="U2607" t="str">
        <f>"280001223"</f>
        <v>280001223</v>
      </c>
    </row>
    <row r="2608" spans="1:21" x14ac:dyDescent="0.3">
      <c r="A2608" t="str">
        <f>"370002255"</f>
        <v>370002255</v>
      </c>
      <c r="B2608" t="str">
        <f>"449 879 295 00011"</f>
        <v>449 879 295 00011</v>
      </c>
      <c r="D2608" t="str">
        <f>"CENTRE SANTE 'A. D. M. R.'"</f>
        <v>CENTRE SANTE 'A. D. M. R.'</v>
      </c>
      <c r="F2608" t="str">
        <f>"22 RUE DESCARTES"</f>
        <v>22 RUE DESCARTES</v>
      </c>
      <c r="H2608" t="str">
        <f>"37130"</f>
        <v>37130</v>
      </c>
      <c r="I2608" t="str">
        <f>"LANGEAIS"</f>
        <v>LANGEAIS</v>
      </c>
      <c r="J2608" t="str">
        <f>"02 47 96 80 28 "</f>
        <v xml:space="preserve">02 47 96 80 28 </v>
      </c>
      <c r="K2608" t="str">
        <f>"02 47 96 69 39"</f>
        <v>02 47 96 69 39</v>
      </c>
      <c r="L2608" s="1">
        <v>31564</v>
      </c>
      <c r="M2608" t="str">
        <f t="shared" si="389"/>
        <v>124</v>
      </c>
      <c r="N2608" t="str">
        <f t="shared" si="390"/>
        <v>Centre de Santé</v>
      </c>
      <c r="O2608" t="str">
        <f>"62"</f>
        <v>62</v>
      </c>
      <c r="P2608" t="str">
        <f>"Association de Droit Local"</f>
        <v>Association de Droit Local</v>
      </c>
      <c r="Q2608" t="str">
        <f t="shared" si="391"/>
        <v>36</v>
      </c>
      <c r="R2608" t="str">
        <f t="shared" si="392"/>
        <v>Tarifs conventionnels assurance maladie</v>
      </c>
      <c r="U2608" t="str">
        <f>"370008799"</f>
        <v>370008799</v>
      </c>
    </row>
    <row r="2609" spans="1:21" x14ac:dyDescent="0.3">
      <c r="A2609" t="str">
        <f>"860782168"</f>
        <v>860782168</v>
      </c>
      <c r="B2609" t="str">
        <f>"316 344 423 00033"</f>
        <v>316 344 423 00033</v>
      </c>
      <c r="D2609" t="str">
        <f>"CENTRE DE SANTE"</f>
        <v>CENTRE DE SANTE</v>
      </c>
      <c r="F2609" t="str">
        <f>"13 AVENUE DU DOCTEUR DUPONT"</f>
        <v>13 AVENUE DU DOCTEUR DUPONT</v>
      </c>
      <c r="H2609" t="str">
        <f>"86320"</f>
        <v>86320</v>
      </c>
      <c r="I2609" t="str">
        <f>"LUSSAC LES CHATEAUX"</f>
        <v>LUSSAC LES CHATEAUX</v>
      </c>
      <c r="J2609" t="str">
        <f>"05 49 48 41 08 "</f>
        <v xml:space="preserve">05 49 48 41 08 </v>
      </c>
      <c r="K2609" t="str">
        <f>"05 49 84 19 24"</f>
        <v>05 49 84 19 24</v>
      </c>
      <c r="L2609" s="1">
        <v>31534</v>
      </c>
      <c r="M2609" t="str">
        <f t="shared" si="389"/>
        <v>124</v>
      </c>
      <c r="N2609" t="str">
        <f t="shared" si="390"/>
        <v>Centre de Santé</v>
      </c>
      <c r="O2609" t="str">
        <f>"60"</f>
        <v>60</v>
      </c>
      <c r="P2609" t="str">
        <f>"Association Loi 1901 non Reconnue d'Utilité Publique"</f>
        <v>Association Loi 1901 non Reconnue d'Utilité Publique</v>
      </c>
      <c r="Q2609" t="str">
        <f t="shared" si="391"/>
        <v>36</v>
      </c>
      <c r="R2609" t="str">
        <f t="shared" si="392"/>
        <v>Tarifs conventionnels assurance maladie</v>
      </c>
      <c r="U2609" t="str">
        <f>"860000264"</f>
        <v>860000264</v>
      </c>
    </row>
    <row r="2610" spans="1:21" x14ac:dyDescent="0.3">
      <c r="A2610" t="str">
        <f>"710973132"</f>
        <v>710973132</v>
      </c>
      <c r="B2610" t="str">
        <f>"778 564 369 00131"</f>
        <v>778 564 369 00131</v>
      </c>
      <c r="D2610" t="str">
        <f>"CABINET DENTAIRE MUTUALISTE"</f>
        <v>CABINET DENTAIRE MUTUALISTE</v>
      </c>
      <c r="F2610" t="str">
        <f>"15 RUE DE LA LIBERTE"</f>
        <v>15 RUE DE LA LIBERTE</v>
      </c>
      <c r="H2610" t="str">
        <f>"71130"</f>
        <v>71130</v>
      </c>
      <c r="I2610" t="str">
        <f>"GUEUGNON"</f>
        <v>GUEUGNON</v>
      </c>
      <c r="J2610" t="str">
        <f>"03 85 84 44 20 "</f>
        <v xml:space="preserve">03 85 84 44 20 </v>
      </c>
      <c r="K2610" t="str">
        <f>"03 85 84 45 85"</f>
        <v>03 85 84 45 85</v>
      </c>
      <c r="L2610" s="1">
        <v>31524</v>
      </c>
      <c r="M2610" t="str">
        <f t="shared" si="389"/>
        <v>124</v>
      </c>
      <c r="N2610" t="str">
        <f t="shared" si="390"/>
        <v>Centre de Santé</v>
      </c>
      <c r="O2610" t="str">
        <f>"47"</f>
        <v>47</v>
      </c>
      <c r="P2610" t="str">
        <f>"Société Mutualiste"</f>
        <v>Société Mutualiste</v>
      </c>
      <c r="Q2610" t="str">
        <f t="shared" si="391"/>
        <v>36</v>
      </c>
      <c r="R2610" t="str">
        <f t="shared" si="392"/>
        <v>Tarifs conventionnels assurance maladie</v>
      </c>
      <c r="U2610" t="str">
        <f>"710784109"</f>
        <v>710784109</v>
      </c>
    </row>
    <row r="2611" spans="1:21" x14ac:dyDescent="0.3">
      <c r="A2611" t="str">
        <f>"440025195"</f>
        <v>440025195</v>
      </c>
      <c r="B2611" t="str">
        <f>"844 881 417 00704"</f>
        <v>844 881 417 00704</v>
      </c>
      <c r="D2611" t="str">
        <f>"CENTRE DENTAIRE MUTUALISTE"</f>
        <v>CENTRE DENTAIRE MUTUALISTE</v>
      </c>
      <c r="F2611" t="str">
        <f>"19 RUE LOUISE MICHEL"</f>
        <v>19 RUE LOUISE MICHEL</v>
      </c>
      <c r="H2611" t="str">
        <f>"44400"</f>
        <v>44400</v>
      </c>
      <c r="I2611" t="str">
        <f>"REZE"</f>
        <v>REZE</v>
      </c>
      <c r="J2611" t="str">
        <f>"02 40 84 71 15 "</f>
        <v xml:space="preserve">02 40 84 71 15 </v>
      </c>
      <c r="L2611" s="1">
        <v>31516</v>
      </c>
      <c r="M2611" t="str">
        <f t="shared" si="389"/>
        <v>124</v>
      </c>
      <c r="N2611" t="str">
        <f t="shared" si="390"/>
        <v>Centre de Santé</v>
      </c>
      <c r="O2611" t="str">
        <f>"47"</f>
        <v>47</v>
      </c>
      <c r="P2611" t="str">
        <f>"Société Mutualiste"</f>
        <v>Société Mutualiste</v>
      </c>
      <c r="Q2611" t="str">
        <f t="shared" si="391"/>
        <v>36</v>
      </c>
      <c r="R2611" t="str">
        <f t="shared" si="392"/>
        <v>Tarifs conventionnels assurance maladie</v>
      </c>
      <c r="U2611" t="str">
        <f>"850028085"</f>
        <v>850028085</v>
      </c>
    </row>
    <row r="2612" spans="1:21" x14ac:dyDescent="0.3">
      <c r="A2612" t="str">
        <f>"530032093"</f>
        <v>530032093</v>
      </c>
      <c r="B2612" t="str">
        <f>"844 881 417 00761"</f>
        <v>844 881 417 00761</v>
      </c>
      <c r="D2612" t="str">
        <f>"CENTRE DENTAIRE MUTUALISTE"</f>
        <v>CENTRE DENTAIRE MUTUALISTE</v>
      </c>
      <c r="F2612" t="str">
        <f>"1 RUE DEAN"</f>
        <v>1 RUE DEAN</v>
      </c>
      <c r="H2612" t="str">
        <f>"53200"</f>
        <v>53200</v>
      </c>
      <c r="I2612" t="str">
        <f>"CHATEAU GONTIER SUR MAYENN"</f>
        <v>CHATEAU GONTIER SUR MAYENN</v>
      </c>
      <c r="J2612" t="str">
        <f>"02 43 70 14 29 "</f>
        <v xml:space="preserve">02 43 70 14 29 </v>
      </c>
      <c r="L2612" s="1">
        <v>31506</v>
      </c>
      <c r="M2612" t="str">
        <f t="shared" si="389"/>
        <v>124</v>
      </c>
      <c r="N2612" t="str">
        <f t="shared" si="390"/>
        <v>Centre de Santé</v>
      </c>
      <c r="O2612" t="str">
        <f>"47"</f>
        <v>47</v>
      </c>
      <c r="P2612" t="str">
        <f>"Société Mutualiste"</f>
        <v>Société Mutualiste</v>
      </c>
      <c r="Q2612" t="str">
        <f t="shared" si="391"/>
        <v>36</v>
      </c>
      <c r="R2612" t="str">
        <f t="shared" si="392"/>
        <v>Tarifs conventionnels assurance maladie</v>
      </c>
      <c r="U2612" t="str">
        <f>"850028085"</f>
        <v>850028085</v>
      </c>
    </row>
    <row r="2613" spans="1:21" x14ac:dyDescent="0.3">
      <c r="A2613" t="str">
        <f>"860788223"</f>
        <v>860788223</v>
      </c>
      <c r="B2613" t="str">
        <f>"338 049 406 00048"</f>
        <v>338 049 406 00048</v>
      </c>
      <c r="D2613" t="str">
        <f>"CENTRE DE SANTE"</f>
        <v>CENTRE DE SANTE</v>
      </c>
      <c r="F2613" t="str">
        <f>"10 RUE VALLÉE DES BAS CHAMPS"</f>
        <v>10 RUE VALLÉE DES BAS CHAMPS</v>
      </c>
      <c r="G2613" t="str">
        <f>"BP 10055"</f>
        <v>BP 10055</v>
      </c>
      <c r="H2613" t="str">
        <f>"86400"</f>
        <v>86400</v>
      </c>
      <c r="I2613" t="str">
        <f>"CIVRAY"</f>
        <v>CIVRAY</v>
      </c>
      <c r="J2613" t="str">
        <f>"05 49 87 25 24 "</f>
        <v xml:space="preserve">05 49 87 25 24 </v>
      </c>
      <c r="K2613" t="str">
        <f>"09 71 70 32 29"</f>
        <v>09 71 70 32 29</v>
      </c>
      <c r="L2613" s="1">
        <v>31503</v>
      </c>
      <c r="M2613" t="str">
        <f t="shared" si="389"/>
        <v>124</v>
      </c>
      <c r="N2613" t="str">
        <f t="shared" si="390"/>
        <v>Centre de Santé</v>
      </c>
      <c r="O2613" t="str">
        <f>"60"</f>
        <v>60</v>
      </c>
      <c r="P2613" t="str">
        <f>"Association Loi 1901 non Reconnue d'Utilité Publique"</f>
        <v>Association Loi 1901 non Reconnue d'Utilité Publique</v>
      </c>
      <c r="Q2613" t="str">
        <f t="shared" si="391"/>
        <v>36</v>
      </c>
      <c r="R2613" t="str">
        <f t="shared" si="392"/>
        <v>Tarifs conventionnels assurance maladie</v>
      </c>
      <c r="U2613" t="str">
        <f>"860001965"</f>
        <v>860001965</v>
      </c>
    </row>
    <row r="2614" spans="1:21" x14ac:dyDescent="0.3">
      <c r="A2614" t="str">
        <f>"440025187"</f>
        <v>440025187</v>
      </c>
      <c r="B2614" t="str">
        <f>"844 881 417 00753"</f>
        <v>844 881 417 00753</v>
      </c>
      <c r="D2614" t="str">
        <f>"CENTRE DENTAIRE MUTUALISTE"</f>
        <v>CENTRE DENTAIRE MUTUALISTE</v>
      </c>
      <c r="F2614" t="str">
        <f>"6 RUE ST-SERVAN"</f>
        <v>6 RUE ST-SERVAN</v>
      </c>
      <c r="H2614" t="str">
        <f>"44800"</f>
        <v>44800</v>
      </c>
      <c r="I2614" t="str">
        <f>"ST HERBLAIN"</f>
        <v>ST HERBLAIN</v>
      </c>
      <c r="J2614" t="str">
        <f>"02 40 58 57 01 "</f>
        <v xml:space="preserve">02 40 58 57 01 </v>
      </c>
      <c r="L2614" s="1">
        <v>31472</v>
      </c>
      <c r="M2614" t="str">
        <f t="shared" si="389"/>
        <v>124</v>
      </c>
      <c r="N2614" t="str">
        <f t="shared" si="390"/>
        <v>Centre de Santé</v>
      </c>
      <c r="O2614" t="str">
        <f>"47"</f>
        <v>47</v>
      </c>
      <c r="P2614" t="str">
        <f>"Société Mutualiste"</f>
        <v>Société Mutualiste</v>
      </c>
      <c r="Q2614" t="str">
        <f t="shared" si="391"/>
        <v>36</v>
      </c>
      <c r="R2614" t="str">
        <f t="shared" si="392"/>
        <v>Tarifs conventionnels assurance maladie</v>
      </c>
      <c r="U2614" t="str">
        <f>"850028085"</f>
        <v>850028085</v>
      </c>
    </row>
    <row r="2615" spans="1:21" x14ac:dyDescent="0.3">
      <c r="A2615" t="str">
        <f>"350003455"</f>
        <v>350003455</v>
      </c>
      <c r="B2615" t="str">
        <f>"338 284 573 00049"</f>
        <v>338 284 573 00049</v>
      </c>
      <c r="D2615" t="str">
        <f>"CDS INFIRMIER ADMR"</f>
        <v>CDS INFIRMIER ADMR</v>
      </c>
      <c r="F2615" t="str">
        <f>"33 AVENUE DE LA GARE"</f>
        <v>33 AVENUE DE LA GARE</v>
      </c>
      <c r="H2615" t="str">
        <f>"35480"</f>
        <v>35480</v>
      </c>
      <c r="I2615" t="str">
        <f>"GUIPRY MESSAC"</f>
        <v>GUIPRY MESSAC</v>
      </c>
      <c r="J2615" t="str">
        <f>"02 99 34 60 61 "</f>
        <v xml:space="preserve">02 99 34 60 61 </v>
      </c>
      <c r="K2615" t="str">
        <f>"02 99 34 65 12"</f>
        <v>02 99 34 65 12</v>
      </c>
      <c r="L2615" s="1">
        <v>31444</v>
      </c>
      <c r="M2615" t="str">
        <f t="shared" si="389"/>
        <v>124</v>
      </c>
      <c r="N2615" t="str">
        <f t="shared" si="390"/>
        <v>Centre de Santé</v>
      </c>
      <c r="O2615" t="str">
        <f>"60"</f>
        <v>60</v>
      </c>
      <c r="P2615" t="str">
        <f>"Association Loi 1901 non Reconnue d'Utilité Publique"</f>
        <v>Association Loi 1901 non Reconnue d'Utilité Publique</v>
      </c>
      <c r="Q2615" t="str">
        <f t="shared" si="391"/>
        <v>36</v>
      </c>
      <c r="R2615" t="str">
        <f t="shared" si="392"/>
        <v>Tarifs conventionnels assurance maladie</v>
      </c>
      <c r="U2615" t="str">
        <f>"350041406"</f>
        <v>350041406</v>
      </c>
    </row>
    <row r="2616" spans="1:21" x14ac:dyDescent="0.3">
      <c r="A2616" t="str">
        <f>"390784346"</f>
        <v>390784346</v>
      </c>
      <c r="B2616" t="str">
        <f>"775 597 487 00120"</f>
        <v>775 597 487 00120</v>
      </c>
      <c r="D2616" t="str">
        <f>"CTRE SANTE DENTAIRE MUTUAL CHAMPAGNOLE"</f>
        <v>CTRE SANTE DENTAIRE MUTUAL CHAMPAGNOLE</v>
      </c>
      <c r="F2616" t="str">
        <f>"11 RUE GENERAL LECLERC"</f>
        <v>11 RUE GENERAL LECLERC</v>
      </c>
      <c r="H2616" t="str">
        <f>"39300"</f>
        <v>39300</v>
      </c>
      <c r="I2616" t="str">
        <f>"CHAMPAGNOLE"</f>
        <v>CHAMPAGNOLE</v>
      </c>
      <c r="J2616" t="str">
        <f>"03 84 52 05 17 "</f>
        <v xml:space="preserve">03 84 52 05 17 </v>
      </c>
      <c r="K2616" t="str">
        <f>"03 84 52 78 93"</f>
        <v>03 84 52 78 93</v>
      </c>
      <c r="L2616" s="1">
        <v>31435</v>
      </c>
      <c r="M2616" t="str">
        <f t="shared" si="389"/>
        <v>124</v>
      </c>
      <c r="N2616" t="str">
        <f t="shared" si="390"/>
        <v>Centre de Santé</v>
      </c>
      <c r="O2616" t="str">
        <f>"47"</f>
        <v>47</v>
      </c>
      <c r="P2616" t="str">
        <f>"Société Mutualiste"</f>
        <v>Société Mutualiste</v>
      </c>
      <c r="Q2616" t="str">
        <f t="shared" si="391"/>
        <v>36</v>
      </c>
      <c r="R2616" t="str">
        <f t="shared" si="392"/>
        <v>Tarifs conventionnels assurance maladie</v>
      </c>
      <c r="U2616" t="str">
        <f>"390784007"</f>
        <v>390784007</v>
      </c>
    </row>
    <row r="2617" spans="1:21" x14ac:dyDescent="0.3">
      <c r="A2617" t="str">
        <f>"850003021"</f>
        <v>850003021</v>
      </c>
      <c r="B2617" t="str">
        <f>"324 347 772 00042"</f>
        <v>324 347 772 00042</v>
      </c>
      <c r="D2617" t="str">
        <f>"CSI ANGLES"</f>
        <v>CSI ANGLES</v>
      </c>
      <c r="F2617" t="str">
        <f>"5 RUE DE L'AVENIR"</f>
        <v>5 RUE DE L'AVENIR</v>
      </c>
      <c r="H2617" t="str">
        <f>"85750"</f>
        <v>85750</v>
      </c>
      <c r="I2617" t="str">
        <f>"ANGLES"</f>
        <v>ANGLES</v>
      </c>
      <c r="J2617" t="str">
        <f>"02 21 97 55 32 "</f>
        <v xml:space="preserve">02 21 97 55 32 </v>
      </c>
      <c r="L2617" s="1">
        <v>31425</v>
      </c>
      <c r="M2617" t="str">
        <f t="shared" si="389"/>
        <v>124</v>
      </c>
      <c r="N2617" t="str">
        <f t="shared" si="390"/>
        <v>Centre de Santé</v>
      </c>
      <c r="O2617" t="str">
        <f>"60"</f>
        <v>60</v>
      </c>
      <c r="P2617" t="str">
        <f>"Association Loi 1901 non Reconnue d'Utilité Publique"</f>
        <v>Association Loi 1901 non Reconnue d'Utilité Publique</v>
      </c>
      <c r="Q2617" t="str">
        <f t="shared" si="391"/>
        <v>36</v>
      </c>
      <c r="R2617" t="str">
        <f t="shared" si="392"/>
        <v>Tarifs conventionnels assurance maladie</v>
      </c>
      <c r="U2617" t="str">
        <f>"850014093"</f>
        <v>850014093</v>
      </c>
    </row>
    <row r="2618" spans="1:21" x14ac:dyDescent="0.3">
      <c r="A2618" t="str">
        <f>"120785340"</f>
        <v>120785340</v>
      </c>
      <c r="B2618" t="str">
        <f>"442 491 197 00624"</f>
        <v>442 491 197 00624</v>
      </c>
      <c r="D2618" t="str">
        <f>"CABINET DENT MUTUALISTE MILLAU UDSMA"</f>
        <v>CABINET DENT MUTUALISTE MILLAU UDSMA</v>
      </c>
      <c r="F2618" t="str">
        <f>"50 PLACE DES CONSULS"</f>
        <v>50 PLACE DES CONSULS</v>
      </c>
      <c r="H2618" t="str">
        <f>"12100"</f>
        <v>12100</v>
      </c>
      <c r="I2618" t="str">
        <f>"MILLAU"</f>
        <v>MILLAU</v>
      </c>
      <c r="J2618" t="str">
        <f>"05 65 59 26 65 "</f>
        <v xml:space="preserve">05 65 59 26 65 </v>
      </c>
      <c r="K2618" t="str">
        <f>"05 65 62 86 99"</f>
        <v>05 65 62 86 99</v>
      </c>
      <c r="L2618" s="1">
        <v>31414</v>
      </c>
      <c r="M2618" t="str">
        <f t="shared" si="389"/>
        <v>124</v>
      </c>
      <c r="N2618" t="str">
        <f t="shared" si="390"/>
        <v>Centre de Santé</v>
      </c>
      <c r="O2618" t="str">
        <f>"47"</f>
        <v>47</v>
      </c>
      <c r="P2618" t="str">
        <f>"Société Mutualiste"</f>
        <v>Société Mutualiste</v>
      </c>
      <c r="Q2618" t="str">
        <f t="shared" si="391"/>
        <v>36</v>
      </c>
      <c r="R2618" t="str">
        <f t="shared" si="392"/>
        <v>Tarifs conventionnels assurance maladie</v>
      </c>
      <c r="U2618" t="str">
        <f>"120784616"</f>
        <v>120784616</v>
      </c>
    </row>
    <row r="2619" spans="1:21" x14ac:dyDescent="0.3">
      <c r="A2619" t="str">
        <f>"930814231"</f>
        <v>930814231</v>
      </c>
      <c r="B2619" t="str">
        <f>"219 300 456 00171"</f>
        <v>219 300 456 00171</v>
      </c>
      <c r="D2619" t="str">
        <f>"CDS MUNICIPAL LES LILAS"</f>
        <v>CDS MUNICIPAL LES LILAS</v>
      </c>
      <c r="F2619" t="str">
        <f>"35 AVENUE GEORGES CLEMENCEAU"</f>
        <v>35 AVENUE GEORGES CLEMENCEAU</v>
      </c>
      <c r="H2619" t="str">
        <f>"93260"</f>
        <v>93260</v>
      </c>
      <c r="I2619" t="str">
        <f>"LES LILAS"</f>
        <v>LES LILAS</v>
      </c>
      <c r="J2619" t="str">
        <f>"01 48 91 29 99 "</f>
        <v xml:space="preserve">01 48 91 29 99 </v>
      </c>
      <c r="K2619" t="str">
        <f>"01 41 71 19 37"</f>
        <v>01 41 71 19 37</v>
      </c>
      <c r="L2619" s="1">
        <v>31369</v>
      </c>
      <c r="M2619" t="str">
        <f t="shared" si="389"/>
        <v>124</v>
      </c>
      <c r="N2619" t="str">
        <f t="shared" si="390"/>
        <v>Centre de Santé</v>
      </c>
      <c r="O2619" t="str">
        <f>"03"</f>
        <v>03</v>
      </c>
      <c r="P2619" t="str">
        <f>"Commune"</f>
        <v>Commune</v>
      </c>
      <c r="Q2619" t="str">
        <f t="shared" si="391"/>
        <v>36</v>
      </c>
      <c r="R2619" t="str">
        <f t="shared" si="392"/>
        <v>Tarifs conventionnels assurance maladie</v>
      </c>
      <c r="U2619" t="str">
        <f>"930813027"</f>
        <v>930813027</v>
      </c>
    </row>
    <row r="2620" spans="1:21" x14ac:dyDescent="0.3">
      <c r="A2620" t="str">
        <f>"850002098"</f>
        <v>850002098</v>
      </c>
      <c r="B2620" t="str">
        <f>"327 469 862 00020"</f>
        <v>327 469 862 00020</v>
      </c>
      <c r="D2620" t="str">
        <f>"CSI DE CHAILLE LES MARAIS"</f>
        <v>CSI DE CHAILLE LES MARAIS</v>
      </c>
      <c r="F2620" t="str">
        <f>"6 RUE DE L'AN VI"</f>
        <v>6 RUE DE L'AN VI</v>
      </c>
      <c r="H2620" t="str">
        <f>"85450"</f>
        <v>85450</v>
      </c>
      <c r="I2620" t="str">
        <f>"CHAILLE LES MARAIS"</f>
        <v>CHAILLE LES MARAIS</v>
      </c>
      <c r="J2620" t="str">
        <f>"02 51 56 71 38 "</f>
        <v xml:space="preserve">02 51 56 71 38 </v>
      </c>
      <c r="L2620" s="1">
        <v>31309</v>
      </c>
      <c r="M2620" t="str">
        <f t="shared" si="389"/>
        <v>124</v>
      </c>
      <c r="N2620" t="str">
        <f t="shared" si="390"/>
        <v>Centre de Santé</v>
      </c>
      <c r="O2620" t="str">
        <f>"60"</f>
        <v>60</v>
      </c>
      <c r="P2620" t="str">
        <f>"Association Loi 1901 non Reconnue d'Utilité Publique"</f>
        <v>Association Loi 1901 non Reconnue d'Utilité Publique</v>
      </c>
      <c r="Q2620" t="str">
        <f t="shared" si="391"/>
        <v>36</v>
      </c>
      <c r="R2620" t="str">
        <f t="shared" si="392"/>
        <v>Tarifs conventionnels assurance maladie</v>
      </c>
      <c r="U2620" t="str">
        <f>"850024563"</f>
        <v>850024563</v>
      </c>
    </row>
    <row r="2621" spans="1:21" x14ac:dyDescent="0.3">
      <c r="A2621" t="str">
        <f>"550004659"</f>
        <v>550004659</v>
      </c>
      <c r="B2621" t="str">
        <f>"775 615 537 00625"</f>
        <v>775 615 537 00625</v>
      </c>
      <c r="D2621" t="str">
        <f>"CENTRE DE SANTE DENTAIRE UTML"</f>
        <v>CENTRE DE SANTE DENTAIRE UTML</v>
      </c>
      <c r="F2621" t="str">
        <f>"6 RUE HENRY DUNANT"</f>
        <v>6 RUE HENRY DUNANT</v>
      </c>
      <c r="H2621" t="str">
        <f>"55000"</f>
        <v>55000</v>
      </c>
      <c r="I2621" t="str">
        <f>"BAR LE DUC"</f>
        <v>BAR LE DUC</v>
      </c>
      <c r="J2621" t="str">
        <f>"03 29 79 24 24 "</f>
        <v xml:space="preserve">03 29 79 24 24 </v>
      </c>
      <c r="K2621" t="str">
        <f>"03 29 79 53 88"</f>
        <v>03 29 79 53 88</v>
      </c>
      <c r="L2621" s="1">
        <v>31293</v>
      </c>
      <c r="M2621" t="str">
        <f t="shared" si="389"/>
        <v>124</v>
      </c>
      <c r="N2621" t="str">
        <f t="shared" si="390"/>
        <v>Centre de Santé</v>
      </c>
      <c r="O2621" t="str">
        <f>"47"</f>
        <v>47</v>
      </c>
      <c r="P2621" t="str">
        <f>"Société Mutualiste"</f>
        <v>Société Mutualiste</v>
      </c>
      <c r="Q2621" t="str">
        <f t="shared" si="391"/>
        <v>36</v>
      </c>
      <c r="R2621" t="str">
        <f t="shared" si="392"/>
        <v>Tarifs conventionnels assurance maladie</v>
      </c>
      <c r="U2621" t="str">
        <f>"540013042"</f>
        <v>540013042</v>
      </c>
    </row>
    <row r="2622" spans="1:21" x14ac:dyDescent="0.3">
      <c r="A2622" t="str">
        <f>"220018006"</f>
        <v>220018006</v>
      </c>
      <c r="B2622" t="str">
        <f>"333 673 408 00022"</f>
        <v>333 673 408 00022</v>
      </c>
      <c r="D2622" t="str">
        <f>"CDS INFIRMIER LOUISE LEMARCHAND"</f>
        <v>CDS INFIRMIER LOUISE LEMARCHAND</v>
      </c>
      <c r="F2622" t="str">
        <f>"12 RUE DU BELLOUARD"</f>
        <v>12 RUE DU BELLOUARD</v>
      </c>
      <c r="H2622" t="str">
        <f>"22250"</f>
        <v>22250</v>
      </c>
      <c r="I2622" t="str">
        <f>"BROONS"</f>
        <v>BROONS</v>
      </c>
      <c r="J2622" t="str">
        <f>"02 96 84 65 44 "</f>
        <v xml:space="preserve">02 96 84 65 44 </v>
      </c>
      <c r="K2622" t="str">
        <f>"02 96 84 65 44"</f>
        <v>02 96 84 65 44</v>
      </c>
      <c r="L2622" s="1">
        <v>31291</v>
      </c>
      <c r="M2622" t="str">
        <f t="shared" si="389"/>
        <v>124</v>
      </c>
      <c r="N2622" t="str">
        <f t="shared" si="390"/>
        <v>Centre de Santé</v>
      </c>
      <c r="O2622" t="str">
        <f>"60"</f>
        <v>60</v>
      </c>
      <c r="P2622" t="str">
        <f>"Association Loi 1901 non Reconnue d'Utilité Publique"</f>
        <v>Association Loi 1901 non Reconnue d'Utilité Publique</v>
      </c>
      <c r="Q2622" t="str">
        <f t="shared" si="391"/>
        <v>36</v>
      </c>
      <c r="R2622" t="str">
        <f t="shared" si="392"/>
        <v>Tarifs conventionnels assurance maladie</v>
      </c>
      <c r="U2622" t="str">
        <f>"220001481"</f>
        <v>220001481</v>
      </c>
    </row>
    <row r="2623" spans="1:21" x14ac:dyDescent="0.3">
      <c r="A2623" t="str">
        <f>"750814964"</f>
        <v>750814964</v>
      </c>
      <c r="B2623" t="str">
        <f>"477 901 714 00022"</f>
        <v>477 901 714 00022</v>
      </c>
      <c r="D2623" t="str">
        <f>"CDS MEDICAL MGEN"</f>
        <v>CDS MEDICAL MGEN</v>
      </c>
      <c r="F2623" t="str">
        <f>"178 RUE DE VAUGIRARD"</f>
        <v>178 RUE DE VAUGIRARD</v>
      </c>
      <c r="H2623" t="str">
        <f>"75738"</f>
        <v>75738</v>
      </c>
      <c r="I2623" t="str">
        <f>"PARIS CEDEX 15"</f>
        <v>PARIS CEDEX 15</v>
      </c>
      <c r="J2623" t="str">
        <f>"01 44 49 28 28 "</f>
        <v xml:space="preserve">01 44 49 28 28 </v>
      </c>
      <c r="K2623" t="str">
        <f>"01 44 49 28 00"</f>
        <v>01 44 49 28 00</v>
      </c>
      <c r="L2623" s="1">
        <v>31264</v>
      </c>
      <c r="M2623" t="str">
        <f t="shared" si="389"/>
        <v>124</v>
      </c>
      <c r="N2623" t="str">
        <f t="shared" si="390"/>
        <v>Centre de Santé</v>
      </c>
      <c r="O2623" t="str">
        <f>"47"</f>
        <v>47</v>
      </c>
      <c r="P2623" t="str">
        <f>"Société Mutualiste"</f>
        <v>Société Mutualiste</v>
      </c>
      <c r="Q2623" t="str">
        <f t="shared" si="391"/>
        <v>36</v>
      </c>
      <c r="R2623" t="str">
        <f t="shared" si="392"/>
        <v>Tarifs conventionnels assurance maladie</v>
      </c>
      <c r="U2623" t="str">
        <f>"750008658"</f>
        <v>750008658</v>
      </c>
    </row>
    <row r="2624" spans="1:21" x14ac:dyDescent="0.3">
      <c r="A2624" t="str">
        <f>"950802710"</f>
        <v>950802710</v>
      </c>
      <c r="B2624" t="str">
        <f>"219 500 188 00665"</f>
        <v>219 500 188 00665</v>
      </c>
      <c r="D2624" t="str">
        <f>"CDS MUNICIPAL IRENE LEZINE"</f>
        <v>CDS MUNICIPAL IRENE LEZINE</v>
      </c>
      <c r="F2624" t="str">
        <f>"38 ESPLANADE DE L EUROPE"</f>
        <v>38 ESPLANADE DE L EUROPE</v>
      </c>
      <c r="H2624" t="str">
        <f>"95100"</f>
        <v>95100</v>
      </c>
      <c r="I2624" t="str">
        <f>"ARGENTEUIL"</f>
        <v>ARGENTEUIL</v>
      </c>
      <c r="J2624" t="str">
        <f>"01 34 23 45 76 "</f>
        <v xml:space="preserve">01 34 23 45 76 </v>
      </c>
      <c r="K2624" t="str">
        <f>"01 34 23 45 65"</f>
        <v>01 34 23 45 65</v>
      </c>
      <c r="L2624" s="1">
        <v>31224</v>
      </c>
      <c r="M2624" t="str">
        <f t="shared" si="389"/>
        <v>124</v>
      </c>
      <c r="N2624" t="str">
        <f t="shared" si="390"/>
        <v>Centre de Santé</v>
      </c>
      <c r="O2624" t="str">
        <f>"03"</f>
        <v>03</v>
      </c>
      <c r="P2624" t="str">
        <f>"Commune"</f>
        <v>Commune</v>
      </c>
      <c r="Q2624" t="str">
        <f t="shared" si="391"/>
        <v>36</v>
      </c>
      <c r="R2624" t="str">
        <f t="shared" si="392"/>
        <v>Tarifs conventionnels assurance maladie</v>
      </c>
      <c r="U2624" t="str">
        <f>"950802397"</f>
        <v>950802397</v>
      </c>
    </row>
    <row r="2625" spans="1:21" x14ac:dyDescent="0.3">
      <c r="A2625" t="str">
        <f>"410004733"</f>
        <v>410004733</v>
      </c>
      <c r="B2625" t="str">
        <f>"442 609 897 00073"</f>
        <v>442 609 897 00073</v>
      </c>
      <c r="D2625" t="str">
        <f>"CENTRE MUTUALISTE SANTE DENTAIRE"</f>
        <v>CENTRE MUTUALISTE SANTE DENTAIRE</v>
      </c>
      <c r="F2625" t="str">
        <f>"8 RUE GALILEE"</f>
        <v>8 RUE GALILEE</v>
      </c>
      <c r="G2625" t="str">
        <f>"PARC A 10 SUD"</f>
        <v>PARC A 10 SUD</v>
      </c>
      <c r="H2625" t="str">
        <f>"41260"</f>
        <v>41260</v>
      </c>
      <c r="I2625" t="str">
        <f>"LA CHAUSSEE ST VICTOR"</f>
        <v>LA CHAUSSEE ST VICTOR</v>
      </c>
      <c r="J2625" t="str">
        <f>"02 54 78 04 46 "</f>
        <v xml:space="preserve">02 54 78 04 46 </v>
      </c>
      <c r="K2625" t="str">
        <f>"02 54 74 83 43"</f>
        <v>02 54 74 83 43</v>
      </c>
      <c r="L2625" s="1">
        <v>31208</v>
      </c>
      <c r="M2625" t="str">
        <f t="shared" si="389"/>
        <v>124</v>
      </c>
      <c r="N2625" t="str">
        <f t="shared" si="390"/>
        <v>Centre de Santé</v>
      </c>
      <c r="O2625" t="str">
        <f t="shared" ref="O2625:O2631" si="393">"47"</f>
        <v>47</v>
      </c>
      <c r="P2625" t="str">
        <f t="shared" ref="P2625:P2631" si="394">"Société Mutualiste"</f>
        <v>Société Mutualiste</v>
      </c>
      <c r="Q2625" t="str">
        <f t="shared" si="391"/>
        <v>36</v>
      </c>
      <c r="R2625" t="str">
        <f t="shared" si="392"/>
        <v>Tarifs conventionnels assurance maladie</v>
      </c>
      <c r="U2625" t="str">
        <f>"410004741"</f>
        <v>410004741</v>
      </c>
    </row>
    <row r="2626" spans="1:21" x14ac:dyDescent="0.3">
      <c r="A2626" t="str">
        <f>"080005986"</f>
        <v>080005986</v>
      </c>
      <c r="B2626" t="str">
        <f>"780 349 833 00282"</f>
        <v>780 349 833 00282</v>
      </c>
      <c r="D2626" t="str">
        <f>"CABINET DENTAIRE DE RETHEL"</f>
        <v>CABINET DENTAIRE DE RETHEL</v>
      </c>
      <c r="F2626" t="str">
        <f>"28 RUE THIERS"</f>
        <v>28 RUE THIERS</v>
      </c>
      <c r="H2626" t="str">
        <f>"08300"</f>
        <v>08300</v>
      </c>
      <c r="I2626" t="str">
        <f>"RETHEL"</f>
        <v>RETHEL</v>
      </c>
      <c r="J2626" t="str">
        <f>"03 24 38 28 18 "</f>
        <v xml:space="preserve">03 24 38 28 18 </v>
      </c>
      <c r="L2626" s="1">
        <v>31187</v>
      </c>
      <c r="M2626" t="str">
        <f t="shared" ref="M2626:M2689" si="395">"124"</f>
        <v>124</v>
      </c>
      <c r="N2626" t="str">
        <f t="shared" ref="N2626:N2689" si="396">"Centre de Santé"</f>
        <v>Centre de Santé</v>
      </c>
      <c r="O2626" t="str">
        <f t="shared" si="393"/>
        <v>47</v>
      </c>
      <c r="P2626" t="str">
        <f t="shared" si="394"/>
        <v>Société Mutualiste</v>
      </c>
      <c r="Q2626" t="str">
        <f t="shared" si="391"/>
        <v>36</v>
      </c>
      <c r="R2626" t="str">
        <f t="shared" si="392"/>
        <v>Tarifs conventionnels assurance maladie</v>
      </c>
      <c r="U2626" t="str">
        <f>"510024581"</f>
        <v>510024581</v>
      </c>
    </row>
    <row r="2627" spans="1:21" x14ac:dyDescent="0.3">
      <c r="A2627" t="str">
        <f>"630787729"</f>
        <v>630787729</v>
      </c>
      <c r="B2627" t="str">
        <f>"775 602 436 01045"</f>
        <v>775 602 436 01045</v>
      </c>
      <c r="D2627" t="str">
        <f>"CENTRE DE SANTE DENTAIRE ISSOIRE"</f>
        <v>CENTRE DE SANTE DENTAIRE ISSOIRE</v>
      </c>
      <c r="F2627" t="str">
        <f>"15 RUE DU PALAIS"</f>
        <v>15 RUE DU PALAIS</v>
      </c>
      <c r="H2627" t="str">
        <f>"63500"</f>
        <v>63500</v>
      </c>
      <c r="I2627" t="str">
        <f>"ISSOIRE"</f>
        <v>ISSOIRE</v>
      </c>
      <c r="J2627" t="str">
        <f>"04 73 89 71 80 "</f>
        <v xml:space="preserve">04 73 89 71 80 </v>
      </c>
      <c r="L2627" s="1">
        <v>31187</v>
      </c>
      <c r="M2627" t="str">
        <f t="shared" si="395"/>
        <v>124</v>
      </c>
      <c r="N2627" t="str">
        <f t="shared" si="396"/>
        <v>Centre de Santé</v>
      </c>
      <c r="O2627" t="str">
        <f t="shared" si="393"/>
        <v>47</v>
      </c>
      <c r="P2627" t="str">
        <f t="shared" si="394"/>
        <v>Société Mutualiste</v>
      </c>
      <c r="Q2627" t="str">
        <f t="shared" si="391"/>
        <v>36</v>
      </c>
      <c r="R2627" t="str">
        <f t="shared" si="392"/>
        <v>Tarifs conventionnels assurance maladie</v>
      </c>
      <c r="U2627" t="str">
        <f>"420787061"</f>
        <v>420787061</v>
      </c>
    </row>
    <row r="2628" spans="1:21" x14ac:dyDescent="0.3">
      <c r="A2628" t="str">
        <f>"650786601"</f>
        <v>650786601</v>
      </c>
      <c r="B2628" t="str">
        <f>"443 073 242 00085"</f>
        <v>443 073 242 00085</v>
      </c>
      <c r="D2628" t="str">
        <f>"CENTRE DE SANTE DENTAIRE 'RAYMOND RAMI"</f>
        <v>CENTRE DE SANTE DENTAIRE 'RAYMOND RAMI</v>
      </c>
      <c r="F2628" t="str">
        <f>"1 RUE BLANCHE ODIN"</f>
        <v>1 RUE BLANCHE ODIN</v>
      </c>
      <c r="H2628" t="str">
        <f>"65200"</f>
        <v>65200</v>
      </c>
      <c r="I2628" t="str">
        <f>"BAGNERES DE BIGORRE"</f>
        <v>BAGNERES DE BIGORRE</v>
      </c>
      <c r="J2628" t="str">
        <f>"05 62 95 83 14 "</f>
        <v xml:space="preserve">05 62 95 83 14 </v>
      </c>
      <c r="K2628" t="str">
        <f>"05 62 91 01 64"</f>
        <v>05 62 91 01 64</v>
      </c>
      <c r="L2628" s="1">
        <v>31180</v>
      </c>
      <c r="M2628" t="str">
        <f t="shared" si="395"/>
        <v>124</v>
      </c>
      <c r="N2628" t="str">
        <f t="shared" si="396"/>
        <v>Centre de Santé</v>
      </c>
      <c r="O2628" t="str">
        <f t="shared" si="393"/>
        <v>47</v>
      </c>
      <c r="P2628" t="str">
        <f t="shared" si="394"/>
        <v>Société Mutualiste</v>
      </c>
      <c r="Q2628" t="str">
        <f t="shared" si="391"/>
        <v>36</v>
      </c>
      <c r="R2628" t="str">
        <f t="shared" si="392"/>
        <v>Tarifs conventionnels assurance maladie</v>
      </c>
      <c r="U2628" t="str">
        <f>"310791223"</f>
        <v>310791223</v>
      </c>
    </row>
    <row r="2629" spans="1:21" x14ac:dyDescent="0.3">
      <c r="A2629" t="str">
        <f>"350012977"</f>
        <v>350012977</v>
      </c>
      <c r="B2629" t="str">
        <f>"519 033 989 00129"</f>
        <v>519 033 989 00129</v>
      </c>
      <c r="D2629" t="str">
        <f>"CDS DENTAIRE MUTUALISTE ST MALO"</f>
        <v>CDS DENTAIRE MUTUALISTE ST MALO</v>
      </c>
      <c r="F2629" t="str">
        <f>"18 AVENUE JEAN JAURES"</f>
        <v>18 AVENUE JEAN JAURES</v>
      </c>
      <c r="H2629" t="str">
        <f>"35400"</f>
        <v>35400</v>
      </c>
      <c r="I2629" t="str">
        <f>"ST MALO"</f>
        <v>ST MALO</v>
      </c>
      <c r="J2629" t="str">
        <f>"02 23 18 12 10 "</f>
        <v xml:space="preserve">02 23 18 12 10 </v>
      </c>
      <c r="L2629" s="1">
        <v>31166</v>
      </c>
      <c r="M2629" t="str">
        <f t="shared" si="395"/>
        <v>124</v>
      </c>
      <c r="N2629" t="str">
        <f t="shared" si="396"/>
        <v>Centre de Santé</v>
      </c>
      <c r="O2629" t="str">
        <f t="shared" si="393"/>
        <v>47</v>
      </c>
      <c r="P2629" t="str">
        <f t="shared" si="394"/>
        <v>Société Mutualiste</v>
      </c>
      <c r="Q2629" t="str">
        <f t="shared" si="391"/>
        <v>36</v>
      </c>
      <c r="R2629" t="str">
        <f t="shared" si="392"/>
        <v>Tarifs conventionnels assurance maladie</v>
      </c>
      <c r="U2629" t="str">
        <f>"560030710"</f>
        <v>560030710</v>
      </c>
    </row>
    <row r="2630" spans="1:21" x14ac:dyDescent="0.3">
      <c r="A2630" t="str">
        <f>"840007991"</f>
        <v>840007991</v>
      </c>
      <c r="B2630" t="str">
        <f>"783 204 548 00045"</f>
        <v>783 204 548 00045</v>
      </c>
      <c r="D2630" t="str">
        <f>"CDS DENTAIRE"</f>
        <v>CDS DENTAIRE</v>
      </c>
      <c r="F2630" t="str">
        <f>"1 RUE DE LA COQUILLE"</f>
        <v>1 RUE DE LA COQUILLE</v>
      </c>
      <c r="H2630" t="str">
        <f>"84700"</f>
        <v>84700</v>
      </c>
      <c r="I2630" t="str">
        <f>"SORGUES"</f>
        <v>SORGUES</v>
      </c>
      <c r="J2630" t="str">
        <f>"04 90 39 21 45 "</f>
        <v xml:space="preserve">04 90 39 21 45 </v>
      </c>
      <c r="L2630" s="1">
        <v>31161</v>
      </c>
      <c r="M2630" t="str">
        <f t="shared" si="395"/>
        <v>124</v>
      </c>
      <c r="N2630" t="str">
        <f t="shared" si="396"/>
        <v>Centre de Santé</v>
      </c>
      <c r="O2630" t="str">
        <f t="shared" si="393"/>
        <v>47</v>
      </c>
      <c r="P2630" t="str">
        <f t="shared" si="394"/>
        <v>Société Mutualiste</v>
      </c>
      <c r="Q2630" t="str">
        <f t="shared" si="391"/>
        <v>36</v>
      </c>
      <c r="R2630" t="str">
        <f t="shared" si="392"/>
        <v>Tarifs conventionnels assurance maladie</v>
      </c>
      <c r="U2630" t="str">
        <f>"840010144"</f>
        <v>840010144</v>
      </c>
    </row>
    <row r="2631" spans="1:21" x14ac:dyDescent="0.3">
      <c r="A2631" t="str">
        <f>"420786816"</f>
        <v>420786816</v>
      </c>
      <c r="B2631" t="str">
        <f>"326 406 998 00053"</f>
        <v>326 406 998 00053</v>
      </c>
      <c r="D2631" t="str">
        <f>"CENTRE DE SANTE MFL MABLY"</f>
        <v>CENTRE DE SANTE MFL MABLY</v>
      </c>
      <c r="F2631" t="str">
        <f>"RUE BEAUMARCHAIS"</f>
        <v>RUE BEAUMARCHAIS</v>
      </c>
      <c r="H2631" t="str">
        <f>"42300"</f>
        <v>42300</v>
      </c>
      <c r="I2631" t="str">
        <f>"MABLY"</f>
        <v>MABLY</v>
      </c>
      <c r="J2631" t="str">
        <f>"04 77 70 46 46 "</f>
        <v xml:space="preserve">04 77 70 46 46 </v>
      </c>
      <c r="K2631" t="str">
        <f>"04 77 67 87 26"</f>
        <v>04 77 67 87 26</v>
      </c>
      <c r="L2631" s="1">
        <v>31138</v>
      </c>
      <c r="M2631" t="str">
        <f t="shared" si="395"/>
        <v>124</v>
      </c>
      <c r="N2631" t="str">
        <f t="shared" si="396"/>
        <v>Centre de Santé</v>
      </c>
      <c r="O2631" t="str">
        <f t="shared" si="393"/>
        <v>47</v>
      </c>
      <c r="P2631" t="str">
        <f t="shared" si="394"/>
        <v>Société Mutualiste</v>
      </c>
      <c r="Q2631" t="str">
        <f t="shared" si="391"/>
        <v>36</v>
      </c>
      <c r="R2631" t="str">
        <f t="shared" si="392"/>
        <v>Tarifs conventionnels assurance maladie</v>
      </c>
      <c r="U2631" t="str">
        <f>"420001596"</f>
        <v>420001596</v>
      </c>
    </row>
    <row r="2632" spans="1:21" x14ac:dyDescent="0.3">
      <c r="A2632" t="str">
        <f>"160007357"</f>
        <v>160007357</v>
      </c>
      <c r="B2632" t="str">
        <f>"775 672 272 29875"</f>
        <v>775 672 272 29875</v>
      </c>
      <c r="D2632" t="str">
        <f>"CENTRE DE SANTE - CRF"</f>
        <v>CENTRE DE SANTE - CRF</v>
      </c>
      <c r="F2632" t="str">
        <f>"BOULEVARD LEON BLUM"</f>
        <v>BOULEVARD LEON BLUM</v>
      </c>
      <c r="H2632" t="str">
        <f>"16800"</f>
        <v>16800</v>
      </c>
      <c r="I2632" t="str">
        <f>"SOYAUX"</f>
        <v>SOYAUX</v>
      </c>
      <c r="J2632" t="str">
        <f>"05 45 25 01 77 "</f>
        <v xml:space="preserve">05 45 25 01 77 </v>
      </c>
      <c r="L2632" s="1">
        <v>31079</v>
      </c>
      <c r="M2632" t="str">
        <f t="shared" si="395"/>
        <v>124</v>
      </c>
      <c r="N2632" t="str">
        <f t="shared" si="396"/>
        <v>Centre de Santé</v>
      </c>
      <c r="O2632" t="str">
        <f>"61"</f>
        <v>61</v>
      </c>
      <c r="P2632" t="str">
        <f>"Association Loi 1901 Reconnue d'Utilité Publique"</f>
        <v>Association Loi 1901 Reconnue d'Utilité Publique</v>
      </c>
      <c r="Q2632" t="str">
        <f t="shared" si="391"/>
        <v>36</v>
      </c>
      <c r="R2632" t="str">
        <f t="shared" si="392"/>
        <v>Tarifs conventionnels assurance maladie</v>
      </c>
      <c r="U2632" t="str">
        <f>"750721334"</f>
        <v>750721334</v>
      </c>
    </row>
    <row r="2633" spans="1:21" x14ac:dyDescent="0.3">
      <c r="A2633" t="str">
        <f>"590780615"</f>
        <v>590780615</v>
      </c>
      <c r="B2633" t="str">
        <f>"332 426 329 00048"</f>
        <v>332 426 329 00048</v>
      </c>
      <c r="D2633" t="str">
        <f>"CENTRE DE SOINS INFIRMIERS"</f>
        <v>CENTRE DE SOINS INFIRMIERS</v>
      </c>
      <c r="F2633" t="str">
        <f>"48 RUE D'HURLUPIN"</f>
        <v>48 RUE D'HURLUPIN</v>
      </c>
      <c r="H2633" t="str">
        <f>"59560"</f>
        <v>59560</v>
      </c>
      <c r="I2633" t="str">
        <f>"COMINES"</f>
        <v>COMINES</v>
      </c>
      <c r="J2633" t="str">
        <f>"03 20 39 03 98 "</f>
        <v xml:space="preserve">03 20 39 03 98 </v>
      </c>
      <c r="L2633" s="1">
        <v>31075</v>
      </c>
      <c r="M2633" t="str">
        <f t="shared" si="395"/>
        <v>124</v>
      </c>
      <c r="N2633" t="str">
        <f t="shared" si="396"/>
        <v>Centre de Santé</v>
      </c>
      <c r="O2633" t="str">
        <f>"60"</f>
        <v>60</v>
      </c>
      <c r="P2633" t="str">
        <f>"Association Loi 1901 non Reconnue d'Utilité Publique"</f>
        <v>Association Loi 1901 non Reconnue d'Utilité Publique</v>
      </c>
      <c r="Q2633" t="str">
        <f t="shared" si="391"/>
        <v>36</v>
      </c>
      <c r="R2633" t="str">
        <f t="shared" si="392"/>
        <v>Tarifs conventionnels assurance maladie</v>
      </c>
      <c r="U2633" t="str">
        <f>"590000220"</f>
        <v>590000220</v>
      </c>
    </row>
    <row r="2634" spans="1:21" x14ac:dyDescent="0.3">
      <c r="A2634" t="str">
        <f>"290007582"</f>
        <v>290007582</v>
      </c>
      <c r="B2634" t="str">
        <f>"775 576 549 00288"</f>
        <v>775 576 549 00288</v>
      </c>
      <c r="D2634" t="str">
        <f>"CDS DENTAIRE MUTUALISTE MORLAIX"</f>
        <v>CDS DENTAIRE MUTUALISTE MORLAIX</v>
      </c>
      <c r="F2634" t="str">
        <f>"14 ALLEE DU POAN BEN"</f>
        <v>14 ALLEE DU POAN BEN</v>
      </c>
      <c r="H2634" t="str">
        <f>"29600"</f>
        <v>29600</v>
      </c>
      <c r="I2634" t="str">
        <f>"MORLAIX"</f>
        <v>MORLAIX</v>
      </c>
      <c r="J2634" t="str">
        <f>"02 98 63 27 64 "</f>
        <v xml:space="preserve">02 98 63 27 64 </v>
      </c>
      <c r="L2634" s="1">
        <v>31048</v>
      </c>
      <c r="M2634" t="str">
        <f t="shared" si="395"/>
        <v>124</v>
      </c>
      <c r="N2634" t="str">
        <f t="shared" si="396"/>
        <v>Centre de Santé</v>
      </c>
      <c r="O2634" t="str">
        <f>"47"</f>
        <v>47</v>
      </c>
      <c r="P2634" t="str">
        <f>"Société Mutualiste"</f>
        <v>Société Mutualiste</v>
      </c>
      <c r="Q2634" t="str">
        <f t="shared" si="391"/>
        <v>36</v>
      </c>
      <c r="R2634" t="str">
        <f t="shared" si="392"/>
        <v>Tarifs conventionnels assurance maladie</v>
      </c>
      <c r="U2634" t="str">
        <f>"290007574"</f>
        <v>290007574</v>
      </c>
    </row>
    <row r="2635" spans="1:21" x14ac:dyDescent="0.3">
      <c r="A2635" t="str">
        <f>"370004269"</f>
        <v>370004269</v>
      </c>
      <c r="B2635" t="str">
        <f>"331 940 916 00033"</f>
        <v>331 940 916 00033</v>
      </c>
      <c r="D2635" t="str">
        <f>"CTRE INFIR CALMETTE GUERIN LA RICHE"</f>
        <v>CTRE INFIR CALMETTE GUERIN LA RICHE</v>
      </c>
      <c r="F2635" t="str">
        <f>"116 RUE DE LA MAIRIE"</f>
        <v>116 RUE DE LA MAIRIE</v>
      </c>
      <c r="H2635" t="str">
        <f>"37520"</f>
        <v>37520</v>
      </c>
      <c r="I2635" t="str">
        <f>"LA RICHE"</f>
        <v>LA RICHE</v>
      </c>
      <c r="J2635" t="str">
        <f>"02 47 37 32 19 "</f>
        <v xml:space="preserve">02 47 37 32 19 </v>
      </c>
      <c r="L2635" s="1">
        <v>31007</v>
      </c>
      <c r="M2635" t="str">
        <f t="shared" si="395"/>
        <v>124</v>
      </c>
      <c r="N2635" t="str">
        <f t="shared" si="396"/>
        <v>Centre de Santé</v>
      </c>
      <c r="O2635" t="str">
        <f>"60"</f>
        <v>60</v>
      </c>
      <c r="P2635" t="str">
        <f>"Association Loi 1901 non Reconnue d'Utilité Publique"</f>
        <v>Association Loi 1901 non Reconnue d'Utilité Publique</v>
      </c>
      <c r="Q2635" t="str">
        <f t="shared" si="391"/>
        <v>36</v>
      </c>
      <c r="R2635" t="str">
        <f t="shared" si="392"/>
        <v>Tarifs conventionnels assurance maladie</v>
      </c>
      <c r="U2635" t="str">
        <f>"370011256"</f>
        <v>370011256</v>
      </c>
    </row>
    <row r="2636" spans="1:21" x14ac:dyDescent="0.3">
      <c r="A2636" t="str">
        <f>"260006549"</f>
        <v>260006549</v>
      </c>
      <c r="B2636" t="str">
        <f>"330 926 668 00014"</f>
        <v>330 926 668 00014</v>
      </c>
      <c r="D2636" t="str">
        <f>"CENTRE DE SANTE DE ST-JEAN-EN-ROYANS"</f>
        <v>CENTRE DE SANTE DE ST-JEAN-EN-ROYANS</v>
      </c>
      <c r="F2636" t="str">
        <f>"10 RUE FONTAINE MARTEL"</f>
        <v>10 RUE FONTAINE MARTEL</v>
      </c>
      <c r="H2636" t="str">
        <f>"26190"</f>
        <v>26190</v>
      </c>
      <c r="I2636" t="str">
        <f>"ST JEAN EN ROYANS"</f>
        <v>ST JEAN EN ROYANS</v>
      </c>
      <c r="J2636" t="str">
        <f>"04 75 48 61 43 "</f>
        <v xml:space="preserve">04 75 48 61 43 </v>
      </c>
      <c r="K2636" t="str">
        <f>"04 75 47 53 64"</f>
        <v>04 75 47 53 64</v>
      </c>
      <c r="L2636" s="1">
        <v>30987</v>
      </c>
      <c r="M2636" t="str">
        <f t="shared" si="395"/>
        <v>124</v>
      </c>
      <c r="N2636" t="str">
        <f t="shared" si="396"/>
        <v>Centre de Santé</v>
      </c>
      <c r="O2636" t="str">
        <f>"60"</f>
        <v>60</v>
      </c>
      <c r="P2636" t="str">
        <f>"Association Loi 1901 non Reconnue d'Utilité Publique"</f>
        <v>Association Loi 1901 non Reconnue d'Utilité Publique</v>
      </c>
      <c r="Q2636" t="str">
        <f t="shared" si="391"/>
        <v>36</v>
      </c>
      <c r="R2636" t="str">
        <f t="shared" si="392"/>
        <v>Tarifs conventionnels assurance maladie</v>
      </c>
      <c r="U2636" t="str">
        <f>"260001177"</f>
        <v>260001177</v>
      </c>
    </row>
    <row r="2637" spans="1:21" x14ac:dyDescent="0.3">
      <c r="A2637" t="str">
        <f>"280503905"</f>
        <v>280503905</v>
      </c>
      <c r="B2637" t="str">
        <f>"775 347 891 01710"</f>
        <v>775 347 891 01710</v>
      </c>
      <c r="D2637" t="str">
        <f>"CENTRE DE SANTE DENTAIRE VYV3"</f>
        <v>CENTRE DE SANTE DENTAIRE VYV3</v>
      </c>
      <c r="F2637" t="str">
        <f>"5 RUE DU GRAND FAUBOURG"</f>
        <v>5 RUE DU GRAND FAUBOURG</v>
      </c>
      <c r="H2637" t="str">
        <f>"28000"</f>
        <v>28000</v>
      </c>
      <c r="I2637" t="str">
        <f>"CHARTRES"</f>
        <v>CHARTRES</v>
      </c>
      <c r="J2637" t="str">
        <f>"02 37 21 01 38 "</f>
        <v xml:space="preserve">02 37 21 01 38 </v>
      </c>
      <c r="K2637" t="str">
        <f>"02 37 21 11 66"</f>
        <v>02 37 21 11 66</v>
      </c>
      <c r="L2637" s="1">
        <v>30979</v>
      </c>
      <c r="M2637" t="str">
        <f t="shared" si="395"/>
        <v>124</v>
      </c>
      <c r="N2637" t="str">
        <f t="shared" si="396"/>
        <v>Centre de Santé</v>
      </c>
      <c r="O2637" t="str">
        <f>"47"</f>
        <v>47</v>
      </c>
      <c r="P2637" t="str">
        <f>"Société Mutualiste"</f>
        <v>Société Mutualiste</v>
      </c>
      <c r="Q2637" t="str">
        <f t="shared" si="391"/>
        <v>36</v>
      </c>
      <c r="R2637" t="str">
        <f t="shared" si="392"/>
        <v>Tarifs conventionnels assurance maladie</v>
      </c>
      <c r="U2637" t="str">
        <f>"370100935"</f>
        <v>370100935</v>
      </c>
    </row>
    <row r="2638" spans="1:21" x14ac:dyDescent="0.3">
      <c r="A2638" t="str">
        <f>"600112825"</f>
        <v>600112825</v>
      </c>
      <c r="B2638" t="str">
        <f>"780 612 123 00114"</f>
        <v>780 612 123 00114</v>
      </c>
      <c r="D2638" t="str">
        <f>"CS MUTUALITÉ 80&amp;60 BEAUVAIS"</f>
        <v>CS MUTUALITÉ 80&amp;60 BEAUVAIS</v>
      </c>
      <c r="F2638" t="str">
        <f>"35 AVENUE LÉON BLUM"</f>
        <v>35 AVENUE LÉON BLUM</v>
      </c>
      <c r="H2638" t="str">
        <f>"60000"</f>
        <v>60000</v>
      </c>
      <c r="I2638" t="str">
        <f>"BEAUVAIS"</f>
        <v>BEAUVAIS</v>
      </c>
      <c r="J2638" t="str">
        <f>"03 44 45 40 58 "</f>
        <v xml:space="preserve">03 44 45 40 58 </v>
      </c>
      <c r="K2638" t="str">
        <f>"03 44 82 39 79"</f>
        <v>03 44 82 39 79</v>
      </c>
      <c r="L2638" s="1">
        <v>30956</v>
      </c>
      <c r="M2638" t="str">
        <f t="shared" si="395"/>
        <v>124</v>
      </c>
      <c r="N2638" t="str">
        <f t="shared" si="396"/>
        <v>Centre de Santé</v>
      </c>
      <c r="O2638" t="str">
        <f>"47"</f>
        <v>47</v>
      </c>
      <c r="P2638" t="str">
        <f>"Société Mutualiste"</f>
        <v>Société Mutualiste</v>
      </c>
      <c r="Q2638" t="str">
        <f t="shared" si="391"/>
        <v>36</v>
      </c>
      <c r="R2638" t="str">
        <f t="shared" si="392"/>
        <v>Tarifs conventionnels assurance maladie</v>
      </c>
      <c r="U2638" t="str">
        <f>"800010993"</f>
        <v>800010993</v>
      </c>
    </row>
    <row r="2639" spans="1:21" x14ac:dyDescent="0.3">
      <c r="A2639" t="str">
        <f>"710972399"</f>
        <v>710972399</v>
      </c>
      <c r="B2639" t="str">
        <f>"778 564 369 00107"</f>
        <v>778 564 369 00107</v>
      </c>
      <c r="D2639" t="str">
        <f>"CENTRE DE SANTÉ DENTAIRE MUTUALISTE"</f>
        <v>CENTRE DE SANTÉ DENTAIRE MUTUALISTE</v>
      </c>
      <c r="F2639" t="str">
        <f>"21 RUE PHILIBERT GUIDE"</f>
        <v>21 RUE PHILIBERT GUIDE</v>
      </c>
      <c r="H2639" t="str">
        <f>"71100"</f>
        <v>71100</v>
      </c>
      <c r="I2639" t="str">
        <f>"CHALON SUR SAONE"</f>
        <v>CHALON SUR SAONE</v>
      </c>
      <c r="J2639" t="str">
        <f>"03 85 42 42 00 "</f>
        <v xml:space="preserve">03 85 42 42 00 </v>
      </c>
      <c r="L2639" s="1">
        <v>30956</v>
      </c>
      <c r="M2639" t="str">
        <f t="shared" si="395"/>
        <v>124</v>
      </c>
      <c r="N2639" t="str">
        <f t="shared" si="396"/>
        <v>Centre de Santé</v>
      </c>
      <c r="O2639" t="str">
        <f>"47"</f>
        <v>47</v>
      </c>
      <c r="P2639" t="str">
        <f>"Société Mutualiste"</f>
        <v>Société Mutualiste</v>
      </c>
      <c r="Q2639" t="str">
        <f t="shared" si="391"/>
        <v>36</v>
      </c>
      <c r="R2639" t="str">
        <f t="shared" si="392"/>
        <v>Tarifs conventionnels assurance maladie</v>
      </c>
      <c r="U2639" t="str">
        <f>"710784109"</f>
        <v>710784109</v>
      </c>
    </row>
    <row r="2640" spans="1:21" x14ac:dyDescent="0.3">
      <c r="A2640" t="str">
        <f>"360005193"</f>
        <v>360005193</v>
      </c>
      <c r="B2640" t="str">
        <f>"775 347 891 01397"</f>
        <v>775 347 891 01397</v>
      </c>
      <c r="D2640" t="str">
        <f>"CENTRE SANTE DENTAIRE"</f>
        <v>CENTRE SANTE DENTAIRE</v>
      </c>
      <c r="F2640" t="str">
        <f>"1 RUE 100 000  CHEMISES"</f>
        <v>1 RUE 100 000  CHEMISES</v>
      </c>
      <c r="H2640" t="str">
        <f>"36000"</f>
        <v>36000</v>
      </c>
      <c r="I2640" t="str">
        <f>"CHATEAUROUX"</f>
        <v>CHATEAUROUX</v>
      </c>
      <c r="J2640" t="str">
        <f>"02 54 08 28 12 "</f>
        <v xml:space="preserve">02 54 08 28 12 </v>
      </c>
      <c r="K2640" t="str">
        <f>"02 54 08 28 22"</f>
        <v>02 54 08 28 22</v>
      </c>
      <c r="L2640" s="1">
        <v>30926</v>
      </c>
      <c r="M2640" t="str">
        <f t="shared" si="395"/>
        <v>124</v>
      </c>
      <c r="N2640" t="str">
        <f t="shared" si="396"/>
        <v>Centre de Santé</v>
      </c>
      <c r="O2640" t="str">
        <f>"47"</f>
        <v>47</v>
      </c>
      <c r="P2640" t="str">
        <f>"Société Mutualiste"</f>
        <v>Société Mutualiste</v>
      </c>
      <c r="Q2640" t="str">
        <f t="shared" si="391"/>
        <v>36</v>
      </c>
      <c r="R2640" t="str">
        <f t="shared" si="392"/>
        <v>Tarifs conventionnels assurance maladie</v>
      </c>
      <c r="U2640" t="str">
        <f>"370100935"</f>
        <v>370100935</v>
      </c>
    </row>
    <row r="2641" spans="1:21" x14ac:dyDescent="0.3">
      <c r="A2641" t="str">
        <f>"670794098"</f>
        <v>670794098</v>
      </c>
      <c r="D2641" t="str">
        <f>"ANTENNE EBERSHEIM DU C.S.I. SELESTAT"</f>
        <v>ANTENNE EBERSHEIM DU C.S.I. SELESTAT</v>
      </c>
      <c r="F2641" t="str">
        <f>"2 RUE DE L'ECOLE"</f>
        <v>2 RUE DE L'ECOLE</v>
      </c>
      <c r="H2641" t="str">
        <f>"67600"</f>
        <v>67600</v>
      </c>
      <c r="I2641" t="str">
        <f>"EBERSHEIM"</f>
        <v>EBERSHEIM</v>
      </c>
      <c r="J2641" t="str">
        <f>"03 88 92 10 10 "</f>
        <v xml:space="preserve">03 88 92 10 10 </v>
      </c>
      <c r="K2641" t="str">
        <f>"03 88 08 67 10"</f>
        <v>03 88 08 67 10</v>
      </c>
      <c r="L2641" s="1">
        <v>30926</v>
      </c>
      <c r="M2641" t="str">
        <f t="shared" si="395"/>
        <v>124</v>
      </c>
      <c r="N2641" t="str">
        <f t="shared" si="396"/>
        <v>Centre de Santé</v>
      </c>
      <c r="O2641" t="str">
        <f>"62"</f>
        <v>62</v>
      </c>
      <c r="P2641" t="str">
        <f>"Association de Droit Local"</f>
        <v>Association de Droit Local</v>
      </c>
      <c r="Q2641" t="str">
        <f t="shared" si="391"/>
        <v>36</v>
      </c>
      <c r="R2641" t="str">
        <f t="shared" si="392"/>
        <v>Tarifs conventionnels assurance maladie</v>
      </c>
      <c r="U2641" t="str">
        <f>"670000819"</f>
        <v>670000819</v>
      </c>
    </row>
    <row r="2642" spans="1:21" x14ac:dyDescent="0.3">
      <c r="A2642" t="str">
        <f>"490538535"</f>
        <v>490538535</v>
      </c>
      <c r="B2642" t="str">
        <f>"844 881 417 00787"</f>
        <v>844 881 417 00787</v>
      </c>
      <c r="D2642" t="str">
        <f>"CENTRE DENTAIRE MUTUALISTE"</f>
        <v>CENTRE DENTAIRE MUTUALISTE</v>
      </c>
      <c r="F2642" t="str">
        <f>"1 RUE DE SARTHE"</f>
        <v>1 RUE DE SARTHE</v>
      </c>
      <c r="H2642" t="str">
        <f>"49300"</f>
        <v>49300</v>
      </c>
      <c r="I2642" t="str">
        <f>"CHOLET"</f>
        <v>CHOLET</v>
      </c>
      <c r="J2642" t="str">
        <f>"02 41 46 82 19 "</f>
        <v xml:space="preserve">02 41 46 82 19 </v>
      </c>
      <c r="K2642" t="str">
        <f>"02 41 46 82 26"</f>
        <v>02 41 46 82 26</v>
      </c>
      <c r="L2642" s="1">
        <v>30911</v>
      </c>
      <c r="M2642" t="str">
        <f t="shared" si="395"/>
        <v>124</v>
      </c>
      <c r="N2642" t="str">
        <f t="shared" si="396"/>
        <v>Centre de Santé</v>
      </c>
      <c r="O2642" t="str">
        <f>"47"</f>
        <v>47</v>
      </c>
      <c r="P2642" t="str">
        <f>"Société Mutualiste"</f>
        <v>Société Mutualiste</v>
      </c>
      <c r="Q2642" t="str">
        <f t="shared" si="391"/>
        <v>36</v>
      </c>
      <c r="R2642" t="str">
        <f t="shared" si="392"/>
        <v>Tarifs conventionnels assurance maladie</v>
      </c>
      <c r="U2642" t="str">
        <f>"850028085"</f>
        <v>850028085</v>
      </c>
    </row>
    <row r="2643" spans="1:21" x14ac:dyDescent="0.3">
      <c r="A2643" t="str">
        <f>"750810400"</f>
        <v>750810400</v>
      </c>
      <c r="B2643" t="str">
        <f>"329 166 763 00097"</f>
        <v>329 166 763 00097</v>
      </c>
      <c r="D2643" t="str">
        <f>"CDS DE SOINS DU CTAR"</f>
        <v>CDS DE SOINS DU CTAR</v>
      </c>
      <c r="E2643" t="str">
        <f>"18-24"</f>
        <v>18-24</v>
      </c>
      <c r="F2643" t="str">
        <f>"18 RUE LECOURBE"</f>
        <v>18 RUE LECOURBE</v>
      </c>
      <c r="H2643" t="str">
        <f>"75015"</f>
        <v>75015</v>
      </c>
      <c r="I2643" t="str">
        <f>"PARIS"</f>
        <v>PARIS</v>
      </c>
      <c r="J2643" t="str">
        <f>"01 45 81 10 63 "</f>
        <v xml:space="preserve">01 45 81 10 63 </v>
      </c>
      <c r="K2643" t="str">
        <f>"01 45 80 80 59"</f>
        <v>01 45 80 80 59</v>
      </c>
      <c r="L2643" s="1">
        <v>30896</v>
      </c>
      <c r="M2643" t="str">
        <f t="shared" si="395"/>
        <v>124</v>
      </c>
      <c r="N2643" t="str">
        <f t="shared" si="396"/>
        <v>Centre de Santé</v>
      </c>
      <c r="O2643" t="str">
        <f>"60"</f>
        <v>60</v>
      </c>
      <c r="P2643" t="str">
        <f>"Association Loi 1901 non Reconnue d'Utilité Publique"</f>
        <v>Association Loi 1901 non Reconnue d'Utilité Publique</v>
      </c>
      <c r="Q2643" t="str">
        <f t="shared" si="391"/>
        <v>36</v>
      </c>
      <c r="R2643" t="str">
        <f t="shared" si="392"/>
        <v>Tarifs conventionnels assurance maladie</v>
      </c>
      <c r="U2643" t="str">
        <f>"920009669"</f>
        <v>920009669</v>
      </c>
    </row>
    <row r="2644" spans="1:21" x14ac:dyDescent="0.3">
      <c r="A2644" t="str">
        <f>"170780514"</f>
        <v>170780514</v>
      </c>
      <c r="B2644" t="str">
        <f>"330 771 494 00011"</f>
        <v>330 771 494 00011</v>
      </c>
      <c r="D2644" t="str">
        <f>"CENTRE DE SANTE"</f>
        <v>CENTRE DE SANTE</v>
      </c>
      <c r="F2644" t="str">
        <f>"71 AVENUE DE SAINTES"</f>
        <v>71 AVENUE DE SAINTES</v>
      </c>
      <c r="H2644" t="str">
        <f>"17240"</f>
        <v>17240</v>
      </c>
      <c r="I2644" t="str">
        <f>"ST GENIS DE SAINTONGE"</f>
        <v>ST GENIS DE SAINTONGE</v>
      </c>
      <c r="J2644" t="str">
        <f>"05 46 49 83 07 "</f>
        <v xml:space="preserve">05 46 49 83 07 </v>
      </c>
      <c r="L2644" s="1">
        <v>30864</v>
      </c>
      <c r="M2644" t="str">
        <f t="shared" si="395"/>
        <v>124</v>
      </c>
      <c r="N2644" t="str">
        <f t="shared" si="396"/>
        <v>Centre de Santé</v>
      </c>
      <c r="O2644" t="str">
        <f>"60"</f>
        <v>60</v>
      </c>
      <c r="P2644" t="str">
        <f>"Association Loi 1901 non Reconnue d'Utilité Publique"</f>
        <v>Association Loi 1901 non Reconnue d'Utilité Publique</v>
      </c>
      <c r="Q2644" t="str">
        <f t="shared" si="391"/>
        <v>36</v>
      </c>
      <c r="R2644" t="str">
        <f t="shared" si="392"/>
        <v>Tarifs conventionnels assurance maladie</v>
      </c>
      <c r="U2644" t="str">
        <f>"170000236"</f>
        <v>170000236</v>
      </c>
    </row>
    <row r="2645" spans="1:21" x14ac:dyDescent="0.3">
      <c r="A2645" t="str">
        <f>"670781509"</f>
        <v>670781509</v>
      </c>
      <c r="B2645" t="str">
        <f>"311 127 781 00053"</f>
        <v>311 127 781 00053</v>
      </c>
      <c r="D2645" t="str">
        <f>"CENTRE DE SOINS INF. HOCHFELDEN"</f>
        <v>CENTRE DE SOINS INF. HOCHFELDEN</v>
      </c>
      <c r="F2645" t="str">
        <f>"12 AVENUE DU GENERAL DE GAULLE"</f>
        <v>12 AVENUE DU GENERAL DE GAULLE</v>
      </c>
      <c r="H2645" t="str">
        <f>"67270"</f>
        <v>67270</v>
      </c>
      <c r="I2645" t="str">
        <f>"HOCHFELDEN"</f>
        <v>HOCHFELDEN</v>
      </c>
      <c r="J2645" t="str">
        <f>"03 88 91 53 55 "</f>
        <v xml:space="preserve">03 88 91 53 55 </v>
      </c>
      <c r="L2645" s="1">
        <v>30851</v>
      </c>
      <c r="M2645" t="str">
        <f t="shared" si="395"/>
        <v>124</v>
      </c>
      <c r="N2645" t="str">
        <f t="shared" si="396"/>
        <v>Centre de Santé</v>
      </c>
      <c r="O2645" t="str">
        <f>"63"</f>
        <v>63</v>
      </c>
      <c r="P2645" t="str">
        <f>"Fondation"</f>
        <v>Fondation</v>
      </c>
      <c r="Q2645" t="str">
        <f t="shared" si="391"/>
        <v>36</v>
      </c>
      <c r="R2645" t="str">
        <f t="shared" si="392"/>
        <v>Tarifs conventionnels assurance maladie</v>
      </c>
      <c r="U2645" t="str">
        <f>"670000785"</f>
        <v>670000785</v>
      </c>
    </row>
    <row r="2646" spans="1:21" x14ac:dyDescent="0.3">
      <c r="A2646" t="str">
        <f>"2B0003529"</f>
        <v>2B0003529</v>
      </c>
      <c r="D2646" t="str">
        <f>"CENTRE DE SANTÉ DENTAIRE MUTUALISTE"</f>
        <v>CENTRE DE SANTÉ DENTAIRE MUTUALISTE</v>
      </c>
      <c r="F2646" t="str">
        <f>"2 BOULEVARD HYACINTHE DE MONTERA"</f>
        <v>2 BOULEVARD HYACINTHE DE MONTERA</v>
      </c>
      <c r="H2646" t="str">
        <f>"20200"</f>
        <v>20200</v>
      </c>
      <c r="I2646" t="str">
        <f>"BASTIA"</f>
        <v>BASTIA</v>
      </c>
      <c r="J2646" t="str">
        <f>"04 95 31 20 75 "</f>
        <v xml:space="preserve">04 95 31 20 75 </v>
      </c>
      <c r="L2646" s="1">
        <v>30823</v>
      </c>
      <c r="M2646" t="str">
        <f t="shared" si="395"/>
        <v>124</v>
      </c>
      <c r="N2646" t="str">
        <f t="shared" si="396"/>
        <v>Centre de Santé</v>
      </c>
      <c r="O2646" t="str">
        <f>"47"</f>
        <v>47</v>
      </c>
      <c r="P2646" t="str">
        <f>"Société Mutualiste"</f>
        <v>Société Mutualiste</v>
      </c>
      <c r="Q2646" t="str">
        <f t="shared" si="391"/>
        <v>36</v>
      </c>
      <c r="R2646" t="str">
        <f t="shared" si="392"/>
        <v>Tarifs conventionnels assurance maladie</v>
      </c>
      <c r="U2646" t="str">
        <f>"2A0001848"</f>
        <v>2A0001848</v>
      </c>
    </row>
    <row r="2647" spans="1:21" x14ac:dyDescent="0.3">
      <c r="A2647" t="str">
        <f>"450010855"</f>
        <v>450010855</v>
      </c>
      <c r="B2647" t="str">
        <f>"775 347 891 01611"</f>
        <v>775 347 891 01611</v>
      </c>
      <c r="D2647" t="str">
        <f>"CTRE DE SANTE VYV3 ST JEAN DE BRAYE"</f>
        <v>CTRE DE SANTE VYV3 ST JEAN DE BRAYE</v>
      </c>
      <c r="F2647" t="str">
        <f>"25 RUE DE MONDESIR"</f>
        <v>25 RUE DE MONDESIR</v>
      </c>
      <c r="H2647" t="str">
        <f>"45800"</f>
        <v>45800</v>
      </c>
      <c r="I2647" t="str">
        <f>"ST JEAN DE BRAYE"</f>
        <v>ST JEAN DE BRAYE</v>
      </c>
      <c r="J2647" t="str">
        <f>"02 38 21 81 90 "</f>
        <v xml:space="preserve">02 38 21 81 90 </v>
      </c>
      <c r="K2647" t="str">
        <f>"02 38 21 74 90"</f>
        <v>02 38 21 74 90</v>
      </c>
      <c r="L2647" s="1">
        <v>30785</v>
      </c>
      <c r="M2647" t="str">
        <f t="shared" si="395"/>
        <v>124</v>
      </c>
      <c r="N2647" t="str">
        <f t="shared" si="396"/>
        <v>Centre de Santé</v>
      </c>
      <c r="O2647" t="str">
        <f>"47"</f>
        <v>47</v>
      </c>
      <c r="P2647" t="str">
        <f>"Société Mutualiste"</f>
        <v>Société Mutualiste</v>
      </c>
      <c r="Q2647" t="str">
        <f t="shared" si="391"/>
        <v>36</v>
      </c>
      <c r="R2647" t="str">
        <f t="shared" si="392"/>
        <v>Tarifs conventionnels assurance maladie</v>
      </c>
      <c r="U2647" t="str">
        <f>"370100935"</f>
        <v>370100935</v>
      </c>
    </row>
    <row r="2648" spans="1:21" x14ac:dyDescent="0.3">
      <c r="A2648" t="str">
        <f>"080002173"</f>
        <v>080002173</v>
      </c>
      <c r="B2648" t="str">
        <f>"780 349 833 00365"</f>
        <v>780 349 833 00365</v>
      </c>
      <c r="D2648" t="str">
        <f>"CENTRE DE SANTÉ DENTAIRE"</f>
        <v>CENTRE DE SANTÉ DENTAIRE</v>
      </c>
      <c r="F2648" t="str">
        <f>"2 AVENUE GENERAL MARGUERITTE"</f>
        <v>2 AVENUE GENERAL MARGUERITTE</v>
      </c>
      <c r="H2648" t="str">
        <f>"08200"</f>
        <v>08200</v>
      </c>
      <c r="I2648" t="str">
        <f>"SEDAN"</f>
        <v>SEDAN</v>
      </c>
      <c r="J2648" t="str">
        <f>"03 24 27 21 69 "</f>
        <v xml:space="preserve">03 24 27 21 69 </v>
      </c>
      <c r="L2648" s="1">
        <v>30760</v>
      </c>
      <c r="M2648" t="str">
        <f t="shared" si="395"/>
        <v>124</v>
      </c>
      <c r="N2648" t="str">
        <f t="shared" si="396"/>
        <v>Centre de Santé</v>
      </c>
      <c r="O2648" t="str">
        <f>"47"</f>
        <v>47</v>
      </c>
      <c r="P2648" t="str">
        <f>"Société Mutualiste"</f>
        <v>Société Mutualiste</v>
      </c>
      <c r="Q2648" t="str">
        <f t="shared" si="391"/>
        <v>36</v>
      </c>
      <c r="R2648" t="str">
        <f t="shared" si="392"/>
        <v>Tarifs conventionnels assurance maladie</v>
      </c>
      <c r="U2648" t="str">
        <f>"510024581"</f>
        <v>510024581</v>
      </c>
    </row>
    <row r="2649" spans="1:21" x14ac:dyDescent="0.3">
      <c r="A2649" t="str">
        <f>"760803064"</f>
        <v>760803064</v>
      </c>
      <c r="B2649" t="str">
        <f>"794 994 277 01750"</f>
        <v>794 994 277 01750</v>
      </c>
      <c r="D2649" t="str">
        <f>"CLINIQUE DENTAIRE MUTUALISTE CANTELEU"</f>
        <v>CLINIQUE DENTAIRE MUTUALISTE CANTELEU</v>
      </c>
      <c r="F2649" t="str">
        <f>"7 AVENUE PIERRE CORNEILLE"</f>
        <v>7 AVENUE PIERRE CORNEILLE</v>
      </c>
      <c r="H2649" t="str">
        <f>"76380"</f>
        <v>76380</v>
      </c>
      <c r="I2649" t="str">
        <f>"CANTELEU"</f>
        <v>CANTELEU</v>
      </c>
      <c r="J2649" t="str">
        <f>"02 35 36 01 01 "</f>
        <v xml:space="preserve">02 35 36 01 01 </v>
      </c>
      <c r="L2649" s="1">
        <v>30746</v>
      </c>
      <c r="M2649" t="str">
        <f t="shared" si="395"/>
        <v>124</v>
      </c>
      <c r="N2649" t="str">
        <f t="shared" si="396"/>
        <v>Centre de Santé</v>
      </c>
      <c r="O2649" t="str">
        <f>"47"</f>
        <v>47</v>
      </c>
      <c r="P2649" t="str">
        <f>"Société Mutualiste"</f>
        <v>Société Mutualiste</v>
      </c>
      <c r="Q2649" t="str">
        <f t="shared" si="391"/>
        <v>36</v>
      </c>
      <c r="R2649" t="str">
        <f t="shared" si="392"/>
        <v>Tarifs conventionnels assurance maladie</v>
      </c>
      <c r="U2649" t="str">
        <f>"760000539"</f>
        <v>760000539</v>
      </c>
    </row>
    <row r="2650" spans="1:21" x14ac:dyDescent="0.3">
      <c r="A2650" t="str">
        <f>"230000226"</f>
        <v>230000226</v>
      </c>
      <c r="B2650" t="str">
        <f>"775 716 673 00956"</f>
        <v>775 716 673 00956</v>
      </c>
      <c r="D2650" t="str">
        <f>"CENTRE DENTAIRE MUTUALISTE"</f>
        <v>CENTRE DENTAIRE MUTUALISTE</v>
      </c>
      <c r="F2650" t="str">
        <f>"1 RUE CHARLES CHAREILLE"</f>
        <v>1 RUE CHARLES CHAREILLE</v>
      </c>
      <c r="H2650" t="str">
        <f>"23000"</f>
        <v>23000</v>
      </c>
      <c r="I2650" t="str">
        <f>"GUERET"</f>
        <v>GUERET</v>
      </c>
      <c r="J2650" t="str">
        <f>"05 55 52 77 10 "</f>
        <v xml:space="preserve">05 55 52 77 10 </v>
      </c>
      <c r="K2650" t="str">
        <f>"05 55 52 97 70"</f>
        <v>05 55 52 97 70</v>
      </c>
      <c r="L2650" s="1">
        <v>30697</v>
      </c>
      <c r="M2650" t="str">
        <f t="shared" si="395"/>
        <v>124</v>
      </c>
      <c r="N2650" t="str">
        <f t="shared" si="396"/>
        <v>Centre de Santé</v>
      </c>
      <c r="O2650" t="str">
        <f>"47"</f>
        <v>47</v>
      </c>
      <c r="P2650" t="str">
        <f>"Société Mutualiste"</f>
        <v>Société Mutualiste</v>
      </c>
      <c r="Q2650" t="str">
        <f t="shared" si="391"/>
        <v>36</v>
      </c>
      <c r="R2650" t="str">
        <f t="shared" si="392"/>
        <v>Tarifs conventionnels assurance maladie</v>
      </c>
      <c r="U2650" t="str">
        <f>"870016722"</f>
        <v>870016722</v>
      </c>
    </row>
    <row r="2651" spans="1:21" x14ac:dyDescent="0.3">
      <c r="A2651" t="str">
        <f>"430005520"</f>
        <v>430005520</v>
      </c>
      <c r="B2651" t="str">
        <f>"315 534 768 00025"</f>
        <v>315 534 768 00025</v>
      </c>
      <c r="D2651" t="str">
        <f>"CTRE DE SOINS INFIRMIERS INTERCOMMUNAL"</f>
        <v>CTRE DE SOINS INFIRMIERS INTERCOMMUNAL</v>
      </c>
      <c r="F2651" t="str">
        <f>"1 RUE PASTEUR"</f>
        <v>1 RUE PASTEUR</v>
      </c>
      <c r="H2651" t="str">
        <f>"43250"</f>
        <v>43250</v>
      </c>
      <c r="I2651" t="str">
        <f>"STE FLORINE"</f>
        <v>STE FLORINE</v>
      </c>
      <c r="J2651" t="str">
        <f>"04 73 54 12 13 "</f>
        <v xml:space="preserve">04 73 54 12 13 </v>
      </c>
      <c r="K2651" t="str">
        <f>"04 73 54 12 13"</f>
        <v>04 73 54 12 13</v>
      </c>
      <c r="L2651" s="1">
        <v>30687</v>
      </c>
      <c r="M2651" t="str">
        <f t="shared" si="395"/>
        <v>124</v>
      </c>
      <c r="N2651" t="str">
        <f t="shared" si="396"/>
        <v>Centre de Santé</v>
      </c>
      <c r="O2651" t="str">
        <f>"60"</f>
        <v>60</v>
      </c>
      <c r="P2651" t="str">
        <f>"Association Loi 1901 non Reconnue d'Utilité Publique"</f>
        <v>Association Loi 1901 non Reconnue d'Utilité Publique</v>
      </c>
      <c r="Q2651" t="str">
        <f t="shared" si="391"/>
        <v>36</v>
      </c>
      <c r="R2651" t="str">
        <f t="shared" si="392"/>
        <v>Tarifs conventionnels assurance maladie</v>
      </c>
      <c r="U2651" t="str">
        <f>"430000794"</f>
        <v>430000794</v>
      </c>
    </row>
    <row r="2652" spans="1:21" x14ac:dyDescent="0.3">
      <c r="A2652" t="str">
        <f>"210006078"</f>
        <v>210006078</v>
      </c>
      <c r="B2652" t="str">
        <f>"315 312 181 00037"</f>
        <v>315 312 181 00037</v>
      </c>
      <c r="D2652" t="str">
        <f>"CENTRE DE SOINS DE SELONGEY"</f>
        <v>CENTRE DE SOINS DE SELONGEY</v>
      </c>
      <c r="F2652" t="str">
        <f>"11 RUE DE LA CRAA"</f>
        <v>11 RUE DE LA CRAA</v>
      </c>
      <c r="H2652" t="str">
        <f>"21260"</f>
        <v>21260</v>
      </c>
      <c r="I2652" t="str">
        <f>"SELONGEY"</f>
        <v>SELONGEY</v>
      </c>
      <c r="J2652" t="str">
        <f>"03 80 75 72 88 "</f>
        <v xml:space="preserve">03 80 75 72 88 </v>
      </c>
      <c r="K2652" t="str">
        <f>"03 80 75 79 01"</f>
        <v>03 80 75 79 01</v>
      </c>
      <c r="L2652" s="1">
        <v>30682</v>
      </c>
      <c r="M2652" t="str">
        <f t="shared" si="395"/>
        <v>124</v>
      </c>
      <c r="N2652" t="str">
        <f t="shared" si="396"/>
        <v>Centre de Santé</v>
      </c>
      <c r="O2652" t="str">
        <f>"60"</f>
        <v>60</v>
      </c>
      <c r="P2652" t="str">
        <f>"Association Loi 1901 non Reconnue d'Utilité Publique"</f>
        <v>Association Loi 1901 non Reconnue d'Utilité Publique</v>
      </c>
      <c r="Q2652" t="str">
        <f t="shared" si="391"/>
        <v>36</v>
      </c>
      <c r="R2652" t="str">
        <f t="shared" si="392"/>
        <v>Tarifs conventionnels assurance maladie</v>
      </c>
      <c r="U2652" t="str">
        <f>"210006029"</f>
        <v>210006029</v>
      </c>
    </row>
    <row r="2653" spans="1:21" x14ac:dyDescent="0.3">
      <c r="A2653" t="str">
        <f>"440004901"</f>
        <v>440004901</v>
      </c>
      <c r="B2653" t="str">
        <f>"844 881 417 00837"</f>
        <v>844 881 417 00837</v>
      </c>
      <c r="D2653" t="str">
        <f>"CENTRE DENTAIRE NANTES"</f>
        <v>CENTRE DENTAIRE NANTES</v>
      </c>
      <c r="F2653" t="str">
        <f>"61 RUE NOIRE"</f>
        <v>61 RUE NOIRE</v>
      </c>
      <c r="H2653" t="str">
        <f>"44000"</f>
        <v>44000</v>
      </c>
      <c r="I2653" t="str">
        <f>"NANTES"</f>
        <v>NANTES</v>
      </c>
      <c r="J2653" t="str">
        <f>"02 40 29 00 40 "</f>
        <v xml:space="preserve">02 40 29 00 40 </v>
      </c>
      <c r="L2653" s="1">
        <v>30682</v>
      </c>
      <c r="M2653" t="str">
        <f t="shared" si="395"/>
        <v>124</v>
      </c>
      <c r="N2653" t="str">
        <f t="shared" si="396"/>
        <v>Centre de Santé</v>
      </c>
      <c r="O2653" t="str">
        <f>"47"</f>
        <v>47</v>
      </c>
      <c r="P2653" t="str">
        <f>"Société Mutualiste"</f>
        <v>Société Mutualiste</v>
      </c>
      <c r="Q2653" t="str">
        <f t="shared" si="391"/>
        <v>36</v>
      </c>
      <c r="R2653" t="str">
        <f t="shared" si="392"/>
        <v>Tarifs conventionnels assurance maladie</v>
      </c>
      <c r="U2653" t="str">
        <f>"850028085"</f>
        <v>850028085</v>
      </c>
    </row>
    <row r="2654" spans="1:21" x14ac:dyDescent="0.3">
      <c r="A2654" t="str">
        <f>"570003798"</f>
        <v>570003798</v>
      </c>
      <c r="B2654" t="str">
        <f>"775 685 316 03284"</f>
        <v>775 685 316 03284</v>
      </c>
      <c r="D2654" t="str">
        <f>"CTRE DENTAIRE FILIERIS FAREBERSVILLER"</f>
        <v>CTRE DENTAIRE FILIERIS FAREBERSVILLER</v>
      </c>
      <c r="F2654" t="str">
        <f>"59 AVENUE VICTOR HUGO"</f>
        <v>59 AVENUE VICTOR HUGO</v>
      </c>
      <c r="H2654" t="str">
        <f>"57450"</f>
        <v>57450</v>
      </c>
      <c r="I2654" t="str">
        <f>"FAREBERSVILLER"</f>
        <v>FAREBERSVILLER</v>
      </c>
      <c r="J2654" t="str">
        <f>"03 87 29 78 79 "</f>
        <v xml:space="preserve">03 87 29 78 79 </v>
      </c>
      <c r="K2654" t="str">
        <f>"03 87 89 24 87"</f>
        <v>03 87 89 24 87</v>
      </c>
      <c r="L2654" s="1">
        <v>30682</v>
      </c>
      <c r="M2654" t="str">
        <f t="shared" si="395"/>
        <v>124</v>
      </c>
      <c r="N2654" t="str">
        <f t="shared" si="396"/>
        <v>Centre de Santé</v>
      </c>
      <c r="O2654" t="str">
        <f>"41"</f>
        <v>41</v>
      </c>
      <c r="P2654" t="str">
        <f>"Régime Spécial de Sécurité Sociale"</f>
        <v>Régime Spécial de Sécurité Sociale</v>
      </c>
      <c r="Q2654" t="str">
        <f t="shared" si="391"/>
        <v>36</v>
      </c>
      <c r="R2654" t="str">
        <f t="shared" si="392"/>
        <v>Tarifs conventionnels assurance maladie</v>
      </c>
      <c r="U2654" t="str">
        <f>"750050759"</f>
        <v>750050759</v>
      </c>
    </row>
    <row r="2655" spans="1:21" x14ac:dyDescent="0.3">
      <c r="A2655" t="str">
        <f>"120784483"</f>
        <v>120784483</v>
      </c>
      <c r="B2655" t="str">
        <f>"442 491 197 00491"</f>
        <v>442 491 197 00491</v>
      </c>
      <c r="D2655" t="str">
        <f>"CABINET DENT MUTUALISTE DECAZEVILLE"</f>
        <v>CABINET DENT MUTUALISTE DECAZEVILLE</v>
      </c>
      <c r="F2655" t="str">
        <f>"2 PLACE WILSON"</f>
        <v>2 PLACE WILSON</v>
      </c>
      <c r="G2655" t="str">
        <f>"BP 126"</f>
        <v>BP 126</v>
      </c>
      <c r="H2655" t="str">
        <f>"12300"</f>
        <v>12300</v>
      </c>
      <c r="I2655" t="str">
        <f>"DECAZEVILLE"</f>
        <v>DECAZEVILLE</v>
      </c>
      <c r="J2655" t="str">
        <f>"05 65 43 02 21 "</f>
        <v xml:space="preserve">05 65 43 02 21 </v>
      </c>
      <c r="K2655" t="str">
        <f>"05 65 80 62 88"</f>
        <v>05 65 80 62 88</v>
      </c>
      <c r="L2655" s="1">
        <v>30637</v>
      </c>
      <c r="M2655" t="str">
        <f t="shared" si="395"/>
        <v>124</v>
      </c>
      <c r="N2655" t="str">
        <f t="shared" si="396"/>
        <v>Centre de Santé</v>
      </c>
      <c r="O2655" t="str">
        <f>"47"</f>
        <v>47</v>
      </c>
      <c r="P2655" t="str">
        <f>"Société Mutualiste"</f>
        <v>Société Mutualiste</v>
      </c>
      <c r="Q2655" t="str">
        <f t="shared" si="391"/>
        <v>36</v>
      </c>
      <c r="R2655" t="str">
        <f t="shared" si="392"/>
        <v>Tarifs conventionnels assurance maladie</v>
      </c>
      <c r="U2655" t="str">
        <f>"120784616"</f>
        <v>120784616</v>
      </c>
    </row>
    <row r="2656" spans="1:21" x14ac:dyDescent="0.3">
      <c r="A2656" t="str">
        <f>"670017284"</f>
        <v>670017284</v>
      </c>
      <c r="D2656" t="str">
        <f>"ESPACE SANTÉ MUT. ESPLANADE"</f>
        <v>ESPACE SANTÉ MUT. ESPLANADE</v>
      </c>
      <c r="F2656" t="str">
        <f>"8 RUE DE LONDRES"</f>
        <v>8 RUE DE LONDRES</v>
      </c>
      <c r="H2656" t="str">
        <f>"67000"</f>
        <v>67000</v>
      </c>
      <c r="I2656" t="str">
        <f>"STRASBOURG"</f>
        <v>STRASBOURG</v>
      </c>
      <c r="J2656" t="str">
        <f>"03 88 61 06 61 "</f>
        <v xml:space="preserve">03 88 61 06 61 </v>
      </c>
      <c r="L2656" s="1">
        <v>30627</v>
      </c>
      <c r="M2656" t="str">
        <f t="shared" si="395"/>
        <v>124</v>
      </c>
      <c r="N2656" t="str">
        <f t="shared" si="396"/>
        <v>Centre de Santé</v>
      </c>
      <c r="O2656" t="str">
        <f>"47"</f>
        <v>47</v>
      </c>
      <c r="P2656" t="str">
        <f>"Société Mutualiste"</f>
        <v>Société Mutualiste</v>
      </c>
      <c r="Q2656" t="str">
        <f t="shared" si="391"/>
        <v>36</v>
      </c>
      <c r="R2656" t="str">
        <f t="shared" si="392"/>
        <v>Tarifs conventionnels assurance maladie</v>
      </c>
      <c r="U2656" t="str">
        <f>"670010339"</f>
        <v>670010339</v>
      </c>
    </row>
    <row r="2657" spans="1:21" x14ac:dyDescent="0.3">
      <c r="A2657" t="str">
        <f>"670792175"</f>
        <v>670792175</v>
      </c>
      <c r="B2657" t="str">
        <f>"434 111 126 00034"</f>
        <v>434 111 126 00034</v>
      </c>
      <c r="D2657" t="str">
        <f>"ESPACE SANTÉ MUT. DENTAIRE ESPLANADE"</f>
        <v>ESPACE SANTÉ MUT. DENTAIRE ESPLANADE</v>
      </c>
      <c r="F2657" t="str">
        <f>"8 RUE DE LONDRES"</f>
        <v>8 RUE DE LONDRES</v>
      </c>
      <c r="H2657" t="str">
        <f>"67000"</f>
        <v>67000</v>
      </c>
      <c r="I2657" t="str">
        <f>"STRASBOURG"</f>
        <v>STRASBOURG</v>
      </c>
      <c r="J2657" t="str">
        <f>"03 88 61 06 61 "</f>
        <v xml:space="preserve">03 88 61 06 61 </v>
      </c>
      <c r="L2657" s="1">
        <v>30627</v>
      </c>
      <c r="M2657" t="str">
        <f t="shared" si="395"/>
        <v>124</v>
      </c>
      <c r="N2657" t="str">
        <f t="shared" si="396"/>
        <v>Centre de Santé</v>
      </c>
      <c r="O2657" t="str">
        <f>"47"</f>
        <v>47</v>
      </c>
      <c r="P2657" t="str">
        <f>"Société Mutualiste"</f>
        <v>Société Mutualiste</v>
      </c>
      <c r="Q2657" t="str">
        <f t="shared" si="391"/>
        <v>36</v>
      </c>
      <c r="R2657" t="str">
        <f t="shared" si="392"/>
        <v>Tarifs conventionnels assurance maladie</v>
      </c>
      <c r="U2657" t="str">
        <f>"670010339"</f>
        <v>670010339</v>
      </c>
    </row>
    <row r="2658" spans="1:21" x14ac:dyDescent="0.3">
      <c r="A2658" t="str">
        <f>"390783991"</f>
        <v>390783991</v>
      </c>
      <c r="B2658" t="str">
        <f>"775 597 487 00187"</f>
        <v>775 597 487 00187</v>
      </c>
      <c r="D2658" t="str">
        <f>"CENTRE SANTE DENTAIRE MUTUALISTE DOLE"</f>
        <v>CENTRE SANTE DENTAIRE MUTUALISTE DOLE</v>
      </c>
      <c r="F2658" t="str">
        <f>"40 BOULEVARD WILSON"</f>
        <v>40 BOULEVARD WILSON</v>
      </c>
      <c r="H2658" t="str">
        <f>"39100"</f>
        <v>39100</v>
      </c>
      <c r="I2658" t="str">
        <f>"DOLE"</f>
        <v>DOLE</v>
      </c>
      <c r="J2658" t="str">
        <f>"03 84 82 36 20 "</f>
        <v xml:space="preserve">03 84 82 36 20 </v>
      </c>
      <c r="K2658" t="str">
        <f>"03 84 82 86 99"</f>
        <v>03 84 82 86 99</v>
      </c>
      <c r="L2658" s="1">
        <v>30508</v>
      </c>
      <c r="M2658" t="str">
        <f t="shared" si="395"/>
        <v>124</v>
      </c>
      <c r="N2658" t="str">
        <f t="shared" si="396"/>
        <v>Centre de Santé</v>
      </c>
      <c r="O2658" t="str">
        <f>"47"</f>
        <v>47</v>
      </c>
      <c r="P2658" t="str">
        <f>"Société Mutualiste"</f>
        <v>Société Mutualiste</v>
      </c>
      <c r="Q2658" t="str">
        <f t="shared" si="391"/>
        <v>36</v>
      </c>
      <c r="R2658" t="str">
        <f t="shared" si="392"/>
        <v>Tarifs conventionnels assurance maladie</v>
      </c>
      <c r="U2658" t="str">
        <f>"390784007"</f>
        <v>390784007</v>
      </c>
    </row>
    <row r="2659" spans="1:21" x14ac:dyDescent="0.3">
      <c r="A2659" t="str">
        <f>"560013922"</f>
        <v>560013922</v>
      </c>
      <c r="B2659" t="str">
        <f>"519 033 989 00061"</f>
        <v>519 033 989 00061</v>
      </c>
      <c r="D2659" t="str">
        <f>"CDS DENTAIRE LANESTER"</f>
        <v>CDS DENTAIRE LANESTER</v>
      </c>
      <c r="E2659" t="str">
        <f>"CENTRE ALPHA"</f>
        <v>CENTRE ALPHA</v>
      </c>
      <c r="F2659" t="str">
        <f>"44 AVENUE FRANCOIS BILLOUX"</f>
        <v>44 AVENUE FRANCOIS BILLOUX</v>
      </c>
      <c r="H2659" t="str">
        <f>"56600"</f>
        <v>56600</v>
      </c>
      <c r="I2659" t="str">
        <f>"LANESTER"</f>
        <v>LANESTER</v>
      </c>
      <c r="J2659" t="str">
        <f>"02 97 76 63 03 "</f>
        <v xml:space="preserve">02 97 76 63 03 </v>
      </c>
      <c r="L2659" s="1">
        <v>30501</v>
      </c>
      <c r="M2659" t="str">
        <f t="shared" si="395"/>
        <v>124</v>
      </c>
      <c r="N2659" t="str">
        <f t="shared" si="396"/>
        <v>Centre de Santé</v>
      </c>
      <c r="O2659" t="str">
        <f>"47"</f>
        <v>47</v>
      </c>
      <c r="P2659" t="str">
        <f>"Société Mutualiste"</f>
        <v>Société Mutualiste</v>
      </c>
      <c r="Q2659" t="str">
        <f t="shared" si="391"/>
        <v>36</v>
      </c>
      <c r="R2659" t="str">
        <f t="shared" si="392"/>
        <v>Tarifs conventionnels assurance maladie</v>
      </c>
      <c r="U2659" t="str">
        <f>"560030710"</f>
        <v>560030710</v>
      </c>
    </row>
    <row r="2660" spans="1:21" x14ac:dyDescent="0.3">
      <c r="A2660" t="str">
        <f>"590785325"</f>
        <v>590785325</v>
      </c>
      <c r="B2660" t="str">
        <f>"340 411 362 00072"</f>
        <v>340 411 362 00072</v>
      </c>
      <c r="D2660" t="str">
        <f>"CENTRE DE SOINS INFIRMIERS"</f>
        <v>CENTRE DE SOINS INFIRMIERS</v>
      </c>
      <c r="F2660" t="str">
        <f>"13 RUE JEAN JAURES"</f>
        <v>13 RUE JEAN JAURES</v>
      </c>
      <c r="H2660" t="str">
        <f>"59124"</f>
        <v>59124</v>
      </c>
      <c r="I2660" t="str">
        <f>"ESCAUDAIN"</f>
        <v>ESCAUDAIN</v>
      </c>
      <c r="J2660" t="str">
        <f>"03 27 31 48 73 "</f>
        <v xml:space="preserve">03 27 31 48 73 </v>
      </c>
      <c r="L2660" s="1">
        <v>30498</v>
      </c>
      <c r="M2660" t="str">
        <f t="shared" si="395"/>
        <v>124</v>
      </c>
      <c r="N2660" t="str">
        <f t="shared" si="396"/>
        <v>Centre de Santé</v>
      </c>
      <c r="O2660" t="str">
        <f>"60"</f>
        <v>60</v>
      </c>
      <c r="P2660" t="str">
        <f>"Association Loi 1901 non Reconnue d'Utilité Publique"</f>
        <v>Association Loi 1901 non Reconnue d'Utilité Publique</v>
      </c>
      <c r="Q2660" t="str">
        <f t="shared" si="391"/>
        <v>36</v>
      </c>
      <c r="R2660" t="str">
        <f t="shared" si="392"/>
        <v>Tarifs conventionnels assurance maladie</v>
      </c>
      <c r="U2660" t="str">
        <f>"590001566"</f>
        <v>590001566</v>
      </c>
    </row>
    <row r="2661" spans="1:21" x14ac:dyDescent="0.3">
      <c r="A2661" t="str">
        <f>"090781980"</f>
        <v>090781980</v>
      </c>
      <c r="B2661" t="str">
        <f>"317 195 527 00054"</f>
        <v>317 195 527 00054</v>
      </c>
      <c r="D2661" t="str">
        <f>"CTRE SOINS INF LA BASTIDE SUR L'HERS"</f>
        <v>CTRE SOINS INF LA BASTIDE SUR L'HERS</v>
      </c>
      <c r="F2661" t="str">
        <f>""</f>
        <v/>
      </c>
      <c r="H2661" t="str">
        <f>"09600"</f>
        <v>09600</v>
      </c>
      <c r="I2661" t="str">
        <f>"LA BASTIDE SUR L HERS"</f>
        <v>LA BASTIDE SUR L HERS</v>
      </c>
      <c r="J2661" t="str">
        <f>"05 61 01 43 96 "</f>
        <v xml:space="preserve">05 61 01 43 96 </v>
      </c>
      <c r="L2661" s="1">
        <v>30487</v>
      </c>
      <c r="M2661" t="str">
        <f t="shared" si="395"/>
        <v>124</v>
      </c>
      <c r="N2661" t="str">
        <f t="shared" si="396"/>
        <v>Centre de Santé</v>
      </c>
      <c r="O2661" t="str">
        <f>"60"</f>
        <v>60</v>
      </c>
      <c r="P2661" t="str">
        <f>"Association Loi 1901 non Reconnue d'Utilité Publique"</f>
        <v>Association Loi 1901 non Reconnue d'Utilité Publique</v>
      </c>
      <c r="Q2661" t="str">
        <f t="shared" si="391"/>
        <v>36</v>
      </c>
      <c r="R2661" t="str">
        <f t="shared" si="392"/>
        <v>Tarifs conventionnels assurance maladie</v>
      </c>
      <c r="U2661" t="str">
        <f>"090782186"</f>
        <v>090782186</v>
      </c>
    </row>
    <row r="2662" spans="1:21" x14ac:dyDescent="0.3">
      <c r="A2662" t="str">
        <f>"120780168"</f>
        <v>120780168</v>
      </c>
      <c r="B2662" t="str">
        <f>"442 491 197 00582"</f>
        <v>442 491 197 00582</v>
      </c>
      <c r="D2662" t="str">
        <f>"CABINET DENT MUTUALISTE VILLEFRANCHE"</f>
        <v>CABINET DENT MUTUALISTE VILLEFRANCHE</v>
      </c>
      <c r="E2662" t="str">
        <f>"RESIDENCE LA CASERNE"</f>
        <v>RESIDENCE LA CASERNE</v>
      </c>
      <c r="F2662" t="str">
        <f>"PLACE FONTANGES"</f>
        <v>PLACE FONTANGES</v>
      </c>
      <c r="H2662" t="str">
        <f>"12200"</f>
        <v>12200</v>
      </c>
      <c r="I2662" t="str">
        <f>"VILLEFRANCHE DE ROUERGUE"</f>
        <v>VILLEFRANCHE DE ROUERGUE</v>
      </c>
      <c r="J2662" t="str">
        <f>"05 65 65 18 03 "</f>
        <v xml:space="preserve">05 65 65 18 03 </v>
      </c>
      <c r="K2662" t="str">
        <f>"05 65 65 18 08"</f>
        <v>05 65 65 18 08</v>
      </c>
      <c r="L2662" s="1">
        <v>30411</v>
      </c>
      <c r="M2662" t="str">
        <f t="shared" si="395"/>
        <v>124</v>
      </c>
      <c r="N2662" t="str">
        <f t="shared" si="396"/>
        <v>Centre de Santé</v>
      </c>
      <c r="O2662" t="str">
        <f>"47"</f>
        <v>47</v>
      </c>
      <c r="P2662" t="str">
        <f>"Société Mutualiste"</f>
        <v>Société Mutualiste</v>
      </c>
      <c r="Q2662" t="str">
        <f t="shared" si="391"/>
        <v>36</v>
      </c>
      <c r="R2662" t="str">
        <f t="shared" si="392"/>
        <v>Tarifs conventionnels assurance maladie</v>
      </c>
      <c r="U2662" t="str">
        <f>"120784616"</f>
        <v>120784616</v>
      </c>
    </row>
    <row r="2663" spans="1:21" x14ac:dyDescent="0.3">
      <c r="A2663" t="str">
        <f>"190004473"</f>
        <v>190004473</v>
      </c>
      <c r="D2663" t="str">
        <f>"CENTRE DE SOINS INFIRMIERS"</f>
        <v>CENTRE DE SOINS INFIRMIERS</v>
      </c>
      <c r="F2663" t="str">
        <f>"41 BOULEVARD DE LA GANOUE"</f>
        <v>41 BOULEVARD DE LA GANOUE</v>
      </c>
      <c r="H2663" t="str">
        <f>"19250"</f>
        <v>19250</v>
      </c>
      <c r="I2663" t="str">
        <f>"MEYMAC"</f>
        <v>MEYMAC</v>
      </c>
      <c r="J2663" t="str">
        <f>"05 55 95 21 99 "</f>
        <v xml:space="preserve">05 55 95 21 99 </v>
      </c>
      <c r="L2663" s="1">
        <v>30407</v>
      </c>
      <c r="M2663" t="str">
        <f t="shared" si="395"/>
        <v>124</v>
      </c>
      <c r="N2663" t="str">
        <f t="shared" si="396"/>
        <v>Centre de Santé</v>
      </c>
      <c r="O2663" t="str">
        <f>"60"</f>
        <v>60</v>
      </c>
      <c r="P2663" t="str">
        <f>"Association Loi 1901 non Reconnue d'Utilité Publique"</f>
        <v>Association Loi 1901 non Reconnue d'Utilité Publique</v>
      </c>
      <c r="Q2663" t="str">
        <f t="shared" ref="Q2663:Q2726" si="397">"36"</f>
        <v>36</v>
      </c>
      <c r="R2663" t="str">
        <f t="shared" ref="R2663:R2726" si="398">"Tarifs conventionnels assurance maladie"</f>
        <v>Tarifs conventionnels assurance maladie</v>
      </c>
      <c r="U2663" t="str">
        <f>"190012336"</f>
        <v>190012336</v>
      </c>
    </row>
    <row r="2664" spans="1:21" x14ac:dyDescent="0.3">
      <c r="A2664" t="str">
        <f>"350003315"</f>
        <v>350003315</v>
      </c>
      <c r="B2664" t="str">
        <f>"327 448 692 00100"</f>
        <v>327 448 692 00100</v>
      </c>
      <c r="D2664" t="str">
        <f>"CDS INFIRMIERS DE JANZE"</f>
        <v>CDS INFIRMIERS DE JANZE</v>
      </c>
      <c r="F2664" t="str">
        <f>"9 RUE CLEMENT ADER"</f>
        <v>9 RUE CLEMENT ADER</v>
      </c>
      <c r="G2664" t="str">
        <f>"BP 95035"</f>
        <v>BP 95035</v>
      </c>
      <c r="H2664" t="str">
        <f>"35150"</f>
        <v>35150</v>
      </c>
      <c r="I2664" t="str">
        <f>"JANZE"</f>
        <v>JANZE</v>
      </c>
      <c r="J2664" t="str">
        <f>"02 99 47 04 50 "</f>
        <v xml:space="preserve">02 99 47 04 50 </v>
      </c>
      <c r="K2664" t="str">
        <f>"02 99 47 27 14"</f>
        <v>02 99 47 27 14</v>
      </c>
      <c r="L2664" s="1">
        <v>30407</v>
      </c>
      <c r="M2664" t="str">
        <f t="shared" si="395"/>
        <v>124</v>
      </c>
      <c r="N2664" t="str">
        <f t="shared" si="396"/>
        <v>Centre de Santé</v>
      </c>
      <c r="O2664" t="str">
        <f>"60"</f>
        <v>60</v>
      </c>
      <c r="P2664" t="str">
        <f>"Association Loi 1901 non Reconnue d'Utilité Publique"</f>
        <v>Association Loi 1901 non Reconnue d'Utilité Publique</v>
      </c>
      <c r="Q2664" t="str">
        <f t="shared" si="397"/>
        <v>36</v>
      </c>
      <c r="R2664" t="str">
        <f t="shared" si="398"/>
        <v>Tarifs conventionnels assurance maladie</v>
      </c>
      <c r="U2664" t="str">
        <f>"350041380"</f>
        <v>350041380</v>
      </c>
    </row>
    <row r="2665" spans="1:21" x14ac:dyDescent="0.3">
      <c r="A2665" t="str">
        <f>"290009661"</f>
        <v>290009661</v>
      </c>
      <c r="B2665" t="str">
        <f>"252 901 152 00014"</f>
        <v>252 901 152 00014</v>
      </c>
      <c r="D2665" t="str">
        <f>"CDS INFIRMIERS"</f>
        <v>CDS INFIRMIERS</v>
      </c>
      <c r="F2665" t="str">
        <f>"8 RUE EMILE ZOLA"</f>
        <v>8 RUE EMILE ZOLA</v>
      </c>
      <c r="H2665" t="str">
        <f>"29390"</f>
        <v>29390</v>
      </c>
      <c r="I2665" t="str">
        <f>"SCAER"</f>
        <v>SCAER</v>
      </c>
      <c r="J2665" t="str">
        <f>"02 98 59 00 93 "</f>
        <v xml:space="preserve">02 98 59 00 93 </v>
      </c>
      <c r="L2665" s="1">
        <v>30376</v>
      </c>
      <c r="M2665" t="str">
        <f t="shared" si="395"/>
        <v>124</v>
      </c>
      <c r="N2665" t="str">
        <f t="shared" si="396"/>
        <v>Centre de Santé</v>
      </c>
      <c r="O2665" t="str">
        <f>"51"</f>
        <v>51</v>
      </c>
      <c r="P2665" t="str">
        <f>"Syndicat"</f>
        <v>Syndicat</v>
      </c>
      <c r="Q2665" t="str">
        <f t="shared" si="397"/>
        <v>36</v>
      </c>
      <c r="R2665" t="str">
        <f t="shared" si="398"/>
        <v>Tarifs conventionnels assurance maladie</v>
      </c>
      <c r="U2665" t="str">
        <f>"290001429"</f>
        <v>290001429</v>
      </c>
    </row>
    <row r="2666" spans="1:21" x14ac:dyDescent="0.3">
      <c r="A2666" t="str">
        <f>"380788877"</f>
        <v>380788877</v>
      </c>
      <c r="B2666" t="str">
        <f>"253 800 403 00029"</f>
        <v>253 800 403 00029</v>
      </c>
      <c r="D2666" t="str">
        <f>"CENTRE DE SANTE SIRCO CHATTE"</f>
        <v>CENTRE DE SANTE SIRCO CHATTE</v>
      </c>
      <c r="E2666" t="str">
        <f>"MAIRIE"</f>
        <v>MAIRIE</v>
      </c>
      <c r="F2666" t="str">
        <f>"PLACE DU CHAMP DE MARS"</f>
        <v>PLACE DU CHAMP DE MARS</v>
      </c>
      <c r="H2666" t="str">
        <f>"38160"</f>
        <v>38160</v>
      </c>
      <c r="I2666" t="str">
        <f>"CHATTE"</f>
        <v>CHATTE</v>
      </c>
      <c r="J2666" t="str">
        <f>"04 76 38 26 35 "</f>
        <v xml:space="preserve">04 76 38 26 35 </v>
      </c>
      <c r="L2666" s="1">
        <v>30376</v>
      </c>
      <c r="M2666" t="str">
        <f t="shared" si="395"/>
        <v>124</v>
      </c>
      <c r="N2666" t="str">
        <f t="shared" si="396"/>
        <v>Centre de Santé</v>
      </c>
      <c r="O2666" t="str">
        <f>"26"</f>
        <v>26</v>
      </c>
      <c r="P2666" t="str">
        <f>"Autre Etablissement Public à Caractère Administratif"</f>
        <v>Autre Etablissement Public à Caractère Administratif</v>
      </c>
      <c r="Q2666" t="str">
        <f t="shared" si="397"/>
        <v>36</v>
      </c>
      <c r="R2666" t="str">
        <f t="shared" si="398"/>
        <v>Tarifs conventionnels assurance maladie</v>
      </c>
      <c r="U2666" t="str">
        <f>"380793703"</f>
        <v>380793703</v>
      </c>
    </row>
    <row r="2667" spans="1:21" x14ac:dyDescent="0.3">
      <c r="A2667" t="str">
        <f>"670782812"</f>
        <v>670782812</v>
      </c>
      <c r="B2667" t="str">
        <f>"311 127 781 00152"</f>
        <v>311 127 781 00152</v>
      </c>
      <c r="D2667" t="str">
        <f>"CTRE SOINS INFIRM SOULTZ SOUS FORETS"</f>
        <v>CTRE SOINS INFIRM SOULTZ SOUS FORETS</v>
      </c>
      <c r="F2667" t="str">
        <f>"6 RUE FELIX DOURNAY"</f>
        <v>6 RUE FELIX DOURNAY</v>
      </c>
      <c r="H2667" t="str">
        <f>"67250"</f>
        <v>67250</v>
      </c>
      <c r="I2667" t="str">
        <f>"SOULTZ SOUS FORETS"</f>
        <v>SOULTZ SOUS FORETS</v>
      </c>
      <c r="J2667" t="str">
        <f>"03 88 80 40 26 "</f>
        <v xml:space="preserve">03 88 80 40 26 </v>
      </c>
      <c r="L2667" s="1">
        <v>30376</v>
      </c>
      <c r="M2667" t="str">
        <f t="shared" si="395"/>
        <v>124</v>
      </c>
      <c r="N2667" t="str">
        <f t="shared" si="396"/>
        <v>Centre de Santé</v>
      </c>
      <c r="O2667" t="str">
        <f>"63"</f>
        <v>63</v>
      </c>
      <c r="P2667" t="str">
        <f>"Fondation"</f>
        <v>Fondation</v>
      </c>
      <c r="Q2667" t="str">
        <f t="shared" si="397"/>
        <v>36</v>
      </c>
      <c r="R2667" t="str">
        <f t="shared" si="398"/>
        <v>Tarifs conventionnels assurance maladie</v>
      </c>
      <c r="U2667" t="str">
        <f>"670000785"</f>
        <v>670000785</v>
      </c>
    </row>
    <row r="2668" spans="1:21" x14ac:dyDescent="0.3">
      <c r="A2668" t="str">
        <f>"630786168"</f>
        <v>630786168</v>
      </c>
      <c r="B2668" t="str">
        <f>"775 602 436 01268"</f>
        <v>775 602 436 01268</v>
      </c>
      <c r="D2668" t="str">
        <f>"CENTRE DE SANTE DENTAIRE RIOM"</f>
        <v>CENTRE DE SANTE DENTAIRE RIOM</v>
      </c>
      <c r="F2668" t="str">
        <f>"ZONE INDUSTRIELLE LES GARDELLES"</f>
        <v>ZONE INDUSTRIELLE LES GARDELLES</v>
      </c>
      <c r="G2668" t="str">
        <f>"ROUTE DE VOLVIC"</f>
        <v>ROUTE DE VOLVIC</v>
      </c>
      <c r="H2668" t="str">
        <f>"63200"</f>
        <v>63200</v>
      </c>
      <c r="I2668" t="str">
        <f>"MALAUZAT"</f>
        <v>MALAUZAT</v>
      </c>
      <c r="J2668" t="str">
        <f>"04 73 40 30 37 "</f>
        <v xml:space="preserve">04 73 40 30 37 </v>
      </c>
      <c r="L2668" s="1">
        <v>30348</v>
      </c>
      <c r="M2668" t="str">
        <f t="shared" si="395"/>
        <v>124</v>
      </c>
      <c r="N2668" t="str">
        <f t="shared" si="396"/>
        <v>Centre de Santé</v>
      </c>
      <c r="O2668" t="str">
        <f>"47"</f>
        <v>47</v>
      </c>
      <c r="P2668" t="str">
        <f>"Société Mutualiste"</f>
        <v>Société Mutualiste</v>
      </c>
      <c r="Q2668" t="str">
        <f t="shared" si="397"/>
        <v>36</v>
      </c>
      <c r="R2668" t="str">
        <f t="shared" si="398"/>
        <v>Tarifs conventionnels assurance maladie</v>
      </c>
      <c r="U2668" t="str">
        <f>"420787061"</f>
        <v>420787061</v>
      </c>
    </row>
    <row r="2669" spans="1:21" x14ac:dyDescent="0.3">
      <c r="A2669" t="str">
        <f>"160010328"</f>
        <v>160010328</v>
      </c>
      <c r="B2669" t="str">
        <f>"781 166 285 00044"</f>
        <v>781 166 285 00044</v>
      </c>
      <c r="D2669" t="str">
        <f>"CENTRE DE SANTE - MUT. 16"</f>
        <v>CENTRE DE SANTE - MUT. 16</v>
      </c>
      <c r="F2669" t="str">
        <f>"62 RUE SAINT ROCH"</f>
        <v>62 RUE SAINT ROCH</v>
      </c>
      <c r="H2669" t="str">
        <f>"16000"</f>
        <v>16000</v>
      </c>
      <c r="I2669" t="str">
        <f>"ANGOULEME"</f>
        <v>ANGOULEME</v>
      </c>
      <c r="J2669" t="str">
        <f>"05 45 38 45 16 "</f>
        <v xml:space="preserve">05 45 38 45 16 </v>
      </c>
      <c r="L2669" s="1">
        <v>30317</v>
      </c>
      <c r="M2669" t="str">
        <f t="shared" si="395"/>
        <v>124</v>
      </c>
      <c r="N2669" t="str">
        <f t="shared" si="396"/>
        <v>Centre de Santé</v>
      </c>
      <c r="O2669" t="str">
        <f>"47"</f>
        <v>47</v>
      </c>
      <c r="P2669" t="str">
        <f>"Société Mutualiste"</f>
        <v>Société Mutualiste</v>
      </c>
      <c r="Q2669" t="str">
        <f t="shared" si="397"/>
        <v>36</v>
      </c>
      <c r="R2669" t="str">
        <f t="shared" si="398"/>
        <v>Tarifs conventionnels assurance maladie</v>
      </c>
      <c r="U2669" t="str">
        <f>"160009908"</f>
        <v>160009908</v>
      </c>
    </row>
    <row r="2670" spans="1:21" x14ac:dyDescent="0.3">
      <c r="A2670" t="str">
        <f>"570018978"</f>
        <v>570018978</v>
      </c>
      <c r="B2670" t="str">
        <f>"775 685 316 03375"</f>
        <v>775 685 316 03375</v>
      </c>
      <c r="D2670" t="str">
        <f>"CSP FILIERIS DE HAM SOUS VARSBERG"</f>
        <v>CSP FILIERIS DE HAM SOUS VARSBERG</v>
      </c>
      <c r="F2670" t="str">
        <f>"127 RUE DE HAM"</f>
        <v>127 RUE DE HAM</v>
      </c>
      <c r="H2670" t="str">
        <f>"57880"</f>
        <v>57880</v>
      </c>
      <c r="I2670" t="str">
        <f>"HAM SOUS VARSBERG"</f>
        <v>HAM SOUS VARSBERG</v>
      </c>
      <c r="J2670" t="str">
        <f>"03 87 93 12 43 "</f>
        <v xml:space="preserve">03 87 93 12 43 </v>
      </c>
      <c r="K2670" t="str">
        <f>"03 87 90 17 43"</f>
        <v>03 87 90 17 43</v>
      </c>
      <c r="L2670" s="1">
        <v>30317</v>
      </c>
      <c r="M2670" t="str">
        <f t="shared" si="395"/>
        <v>124</v>
      </c>
      <c r="N2670" t="str">
        <f t="shared" si="396"/>
        <v>Centre de Santé</v>
      </c>
      <c r="O2670" t="str">
        <f>"41"</f>
        <v>41</v>
      </c>
      <c r="P2670" t="str">
        <f>"Régime Spécial de Sécurité Sociale"</f>
        <v>Régime Spécial de Sécurité Sociale</v>
      </c>
      <c r="Q2670" t="str">
        <f t="shared" si="397"/>
        <v>36</v>
      </c>
      <c r="R2670" t="str">
        <f t="shared" si="398"/>
        <v>Tarifs conventionnels assurance maladie</v>
      </c>
      <c r="U2670" t="str">
        <f>"750050759"</f>
        <v>750050759</v>
      </c>
    </row>
    <row r="2671" spans="1:21" x14ac:dyDescent="0.3">
      <c r="A2671" t="str">
        <f>"630785335"</f>
        <v>630785335</v>
      </c>
      <c r="B2671" t="str">
        <f>"775 602 436 01243"</f>
        <v>775 602 436 01243</v>
      </c>
      <c r="D2671" t="str">
        <f>"CENTRE DE SANTE CLERMONT NORD"</f>
        <v>CENTRE DE SANTE CLERMONT NORD</v>
      </c>
      <c r="F2671" t="str">
        <f>"225 BOULEVARD ETIENNE CLEMENTEL"</f>
        <v>225 BOULEVARD ETIENNE CLEMENTEL</v>
      </c>
      <c r="H2671" t="str">
        <f>"63100"</f>
        <v>63100</v>
      </c>
      <c r="I2671" t="str">
        <f>"CLERMONT FERRAND"</f>
        <v>CLERMONT FERRAND</v>
      </c>
      <c r="J2671" t="str">
        <f>"04 73 24 26 65 "</f>
        <v xml:space="preserve">04 73 24 26 65 </v>
      </c>
      <c r="L2671" s="1">
        <v>30317</v>
      </c>
      <c r="M2671" t="str">
        <f t="shared" si="395"/>
        <v>124</v>
      </c>
      <c r="N2671" t="str">
        <f t="shared" si="396"/>
        <v>Centre de Santé</v>
      </c>
      <c r="O2671" t="str">
        <f>"47"</f>
        <v>47</v>
      </c>
      <c r="P2671" t="str">
        <f>"Société Mutualiste"</f>
        <v>Société Mutualiste</v>
      </c>
      <c r="Q2671" t="str">
        <f t="shared" si="397"/>
        <v>36</v>
      </c>
      <c r="R2671" t="str">
        <f t="shared" si="398"/>
        <v>Tarifs conventionnels assurance maladie</v>
      </c>
      <c r="U2671" t="str">
        <f>"420787061"</f>
        <v>420787061</v>
      </c>
    </row>
    <row r="2672" spans="1:21" x14ac:dyDescent="0.3">
      <c r="A2672" t="str">
        <f>"120783501"</f>
        <v>120783501</v>
      </c>
      <c r="B2672" t="str">
        <f>"442 491 197 00707"</f>
        <v>442 491 197 00707</v>
      </c>
      <c r="D2672" t="str">
        <f>"CENTRE DE SOINS INFIRMIERS UDSMA RODEZ"</f>
        <v>CENTRE DE SOINS INFIRMIERS UDSMA RODEZ</v>
      </c>
      <c r="E2672" t="str">
        <f>"ETAGE 1 - PORTE 1"</f>
        <v>ETAGE 1 - PORTE 1</v>
      </c>
      <c r="F2672" t="str">
        <f>"31 AVENUE DE LA GINESTE"</f>
        <v>31 AVENUE DE LA GINESTE</v>
      </c>
      <c r="H2672" t="str">
        <f>"12000"</f>
        <v>12000</v>
      </c>
      <c r="I2672" t="str">
        <f>"RODEZ"</f>
        <v>RODEZ</v>
      </c>
      <c r="J2672" t="str">
        <f>"05 65 73 59 11 "</f>
        <v xml:space="preserve">05 65 73 59 11 </v>
      </c>
      <c r="L2672" s="1">
        <v>30285</v>
      </c>
      <c r="M2672" t="str">
        <f t="shared" si="395"/>
        <v>124</v>
      </c>
      <c r="N2672" t="str">
        <f t="shared" si="396"/>
        <v>Centre de Santé</v>
      </c>
      <c r="O2672" t="str">
        <f>"47"</f>
        <v>47</v>
      </c>
      <c r="P2672" t="str">
        <f>"Société Mutualiste"</f>
        <v>Société Mutualiste</v>
      </c>
      <c r="Q2672" t="str">
        <f t="shared" si="397"/>
        <v>36</v>
      </c>
      <c r="R2672" t="str">
        <f t="shared" si="398"/>
        <v>Tarifs conventionnels assurance maladie</v>
      </c>
      <c r="U2672" t="str">
        <f>"120784616"</f>
        <v>120784616</v>
      </c>
    </row>
    <row r="2673" spans="1:21" x14ac:dyDescent="0.3">
      <c r="A2673" t="str">
        <f>"060791266"</f>
        <v>060791266</v>
      </c>
      <c r="D2673" t="str">
        <f>"CDS DENTAIRE OXANCE MORTIER NICE"</f>
        <v>CDS DENTAIRE OXANCE MORTIER NICE</v>
      </c>
      <c r="F2673" t="str">
        <f>"5 RUE ALFRED MORTIER"</f>
        <v>5 RUE ALFRED MORTIER</v>
      </c>
      <c r="H2673" t="str">
        <f>"06000"</f>
        <v>06000</v>
      </c>
      <c r="I2673" t="str">
        <f>"NICE"</f>
        <v>NICE</v>
      </c>
      <c r="J2673" t="str">
        <f>"04 93 80 78 78 "</f>
        <v xml:space="preserve">04 93 80 78 78 </v>
      </c>
      <c r="L2673" s="1">
        <v>30280</v>
      </c>
      <c r="M2673" t="str">
        <f t="shared" si="395"/>
        <v>124</v>
      </c>
      <c r="N2673" t="str">
        <f t="shared" si="396"/>
        <v>Centre de Santé</v>
      </c>
      <c r="O2673" t="str">
        <f>"47"</f>
        <v>47</v>
      </c>
      <c r="P2673" t="str">
        <f>"Société Mutualiste"</f>
        <v>Société Mutualiste</v>
      </c>
      <c r="Q2673" t="str">
        <f t="shared" si="397"/>
        <v>36</v>
      </c>
      <c r="R2673" t="str">
        <f t="shared" si="398"/>
        <v>Tarifs conventionnels assurance maladie</v>
      </c>
      <c r="U2673" t="str">
        <f>"690048111"</f>
        <v>690048111</v>
      </c>
    </row>
    <row r="2674" spans="1:21" x14ac:dyDescent="0.3">
      <c r="A2674" t="str">
        <f>"370100091"</f>
        <v>370100091</v>
      </c>
      <c r="B2674" t="str">
        <f>"775 347 891 00357"</f>
        <v>775 347 891 00357</v>
      </c>
      <c r="D2674" t="str">
        <f>"CTRE DENTAIRE MUTUALITE FRANCAISE"</f>
        <v>CTRE DENTAIRE MUTUALITE FRANCAISE</v>
      </c>
      <c r="F2674" t="str">
        <f>"9 RUE DE LA REPUBLIQUE"</f>
        <v>9 RUE DE LA REPUBLIQUE</v>
      </c>
      <c r="H2674" t="str">
        <f>"37600"</f>
        <v>37600</v>
      </c>
      <c r="I2674" t="str">
        <f>"LOCHES"</f>
        <v>LOCHES</v>
      </c>
      <c r="J2674" t="str">
        <f>"02 47 91 23 28 "</f>
        <v xml:space="preserve">02 47 91 23 28 </v>
      </c>
      <c r="L2674" s="1">
        <v>30270</v>
      </c>
      <c r="M2674" t="str">
        <f t="shared" si="395"/>
        <v>124</v>
      </c>
      <c r="N2674" t="str">
        <f t="shared" si="396"/>
        <v>Centre de Santé</v>
      </c>
      <c r="O2674" t="str">
        <f>"47"</f>
        <v>47</v>
      </c>
      <c r="P2674" t="str">
        <f>"Société Mutualiste"</f>
        <v>Société Mutualiste</v>
      </c>
      <c r="Q2674" t="str">
        <f t="shared" si="397"/>
        <v>36</v>
      </c>
      <c r="R2674" t="str">
        <f t="shared" si="398"/>
        <v>Tarifs conventionnels assurance maladie</v>
      </c>
      <c r="U2674" t="str">
        <f>"370100935"</f>
        <v>370100935</v>
      </c>
    </row>
    <row r="2675" spans="1:21" x14ac:dyDescent="0.3">
      <c r="A2675" t="str">
        <f>"670781269"</f>
        <v>670781269</v>
      </c>
      <c r="B2675" t="str">
        <f>"775 641 731 00234"</f>
        <v>775 641 731 00234</v>
      </c>
      <c r="D2675" t="str">
        <f>"CSI DES DIACONESSES CENTRE VILLE"</f>
        <v>CSI DES DIACONESSES CENTRE VILLE</v>
      </c>
      <c r="F2675" t="str">
        <f>"5 RUE MARTIN LUTHER"</f>
        <v>5 RUE MARTIN LUTHER</v>
      </c>
      <c r="H2675" t="str">
        <f>"67000"</f>
        <v>67000</v>
      </c>
      <c r="I2675" t="str">
        <f>"STRASBOURG"</f>
        <v>STRASBOURG</v>
      </c>
      <c r="J2675" t="str">
        <f>"03 88 32 32 55 "</f>
        <v xml:space="preserve">03 88 32 32 55 </v>
      </c>
      <c r="K2675" t="str">
        <f>"03 88 14 40 91"</f>
        <v>03 88 14 40 91</v>
      </c>
      <c r="L2675" s="1">
        <v>30249</v>
      </c>
      <c r="M2675" t="str">
        <f t="shared" si="395"/>
        <v>124</v>
      </c>
      <c r="N2675" t="str">
        <f t="shared" si="396"/>
        <v>Centre de Santé</v>
      </c>
      <c r="O2675" t="str">
        <f>"61"</f>
        <v>61</v>
      </c>
      <c r="P2675" t="str">
        <f>"Association Loi 1901 Reconnue d'Utilité Publique"</f>
        <v>Association Loi 1901 Reconnue d'Utilité Publique</v>
      </c>
      <c r="Q2675" t="str">
        <f t="shared" si="397"/>
        <v>36</v>
      </c>
      <c r="R2675" t="str">
        <f t="shared" si="398"/>
        <v>Tarifs conventionnels assurance maladie</v>
      </c>
      <c r="U2675" t="str">
        <f>"670000108"</f>
        <v>670000108</v>
      </c>
    </row>
    <row r="2676" spans="1:21" x14ac:dyDescent="0.3">
      <c r="A2676" t="str">
        <f>"120783014"</f>
        <v>120783014</v>
      </c>
      <c r="B2676" t="str">
        <f>"325 463 545 00039"</f>
        <v>325 463 545 00039</v>
      </c>
      <c r="D2676" t="str">
        <f>"CDS POLYVALENT DU RÉQUISTANAIS"</f>
        <v>CDS POLYVALENT DU RÉQUISTANAIS</v>
      </c>
      <c r="F2676" t="str">
        <f>"2 BOULEVARD VICOMTE DE CADARS"</f>
        <v>2 BOULEVARD VICOMTE DE CADARS</v>
      </c>
      <c r="H2676" t="str">
        <f>"12170"</f>
        <v>12170</v>
      </c>
      <c r="I2676" t="str">
        <f>"REQUISTA"</f>
        <v>REQUISTA</v>
      </c>
      <c r="J2676" t="str">
        <f>"05 65 74 04 32 "</f>
        <v xml:space="preserve">05 65 74 04 32 </v>
      </c>
      <c r="L2676" s="1">
        <v>30225</v>
      </c>
      <c r="M2676" t="str">
        <f t="shared" si="395"/>
        <v>124</v>
      </c>
      <c r="N2676" t="str">
        <f t="shared" si="396"/>
        <v>Centre de Santé</v>
      </c>
      <c r="O2676" t="str">
        <f>"60"</f>
        <v>60</v>
      </c>
      <c r="P2676" t="str">
        <f>"Association Loi 1901 non Reconnue d'Utilité Publique"</f>
        <v>Association Loi 1901 non Reconnue d'Utilité Publique</v>
      </c>
      <c r="Q2676" t="str">
        <f t="shared" si="397"/>
        <v>36</v>
      </c>
      <c r="R2676" t="str">
        <f t="shared" si="398"/>
        <v>Tarifs conventionnels assurance maladie</v>
      </c>
      <c r="U2676" t="str">
        <f>"120784913"</f>
        <v>120784913</v>
      </c>
    </row>
    <row r="2677" spans="1:21" x14ac:dyDescent="0.3">
      <c r="A2677" t="str">
        <f>"380788935"</f>
        <v>380788935</v>
      </c>
      <c r="B2677" t="str">
        <f>"325 751 410 00011"</f>
        <v>325 751 410 00011</v>
      </c>
      <c r="D2677" t="str">
        <f>"CENTRE DE SANTE DES ROCHES-DE-CONDRIEU"</f>
        <v>CENTRE DE SANTE DES ROCHES-DE-CONDRIEU</v>
      </c>
      <c r="F2677" t="str">
        <f>"1036 ROUTE DE CONDRIEU"</f>
        <v>1036 ROUTE DE CONDRIEU</v>
      </c>
      <c r="H2677" t="str">
        <f>"38370"</f>
        <v>38370</v>
      </c>
      <c r="I2677" t="str">
        <f>"ST CLAIR DU RHONE"</f>
        <v>ST CLAIR DU RHONE</v>
      </c>
      <c r="J2677" t="str">
        <f>"04 74 56 42 26 "</f>
        <v xml:space="preserve">04 74 56 42 26 </v>
      </c>
      <c r="K2677" t="str">
        <f>"04 74 56 51 94"</f>
        <v>04 74 56 51 94</v>
      </c>
      <c r="L2677" s="1">
        <v>30225</v>
      </c>
      <c r="M2677" t="str">
        <f t="shared" si="395"/>
        <v>124</v>
      </c>
      <c r="N2677" t="str">
        <f t="shared" si="396"/>
        <v>Centre de Santé</v>
      </c>
      <c r="O2677" t="str">
        <f>"60"</f>
        <v>60</v>
      </c>
      <c r="P2677" t="str">
        <f>"Association Loi 1901 non Reconnue d'Utilité Publique"</f>
        <v>Association Loi 1901 non Reconnue d'Utilité Publique</v>
      </c>
      <c r="Q2677" t="str">
        <f t="shared" si="397"/>
        <v>36</v>
      </c>
      <c r="R2677" t="str">
        <f t="shared" si="398"/>
        <v>Tarifs conventionnels assurance maladie</v>
      </c>
      <c r="U2677" t="str">
        <f>"380793737"</f>
        <v>380793737</v>
      </c>
    </row>
    <row r="2678" spans="1:21" x14ac:dyDescent="0.3">
      <c r="A2678" t="str">
        <f>"950802009"</f>
        <v>950802009</v>
      </c>
      <c r="B2678" t="str">
        <f>"219 502 523 00273"</f>
        <v>219 502 523 00273</v>
      </c>
      <c r="D2678" t="str">
        <f>"CDS MUNICIPAL DE SANTE FRANCONVILLE"</f>
        <v>CDS MUNICIPAL DE SANTE FRANCONVILLE</v>
      </c>
      <c r="F2678" t="str">
        <f>"9 RUE DE LA STATION"</f>
        <v>9 RUE DE LA STATION</v>
      </c>
      <c r="H2678" t="str">
        <f>"95130"</f>
        <v>95130</v>
      </c>
      <c r="I2678" t="str">
        <f>"FRANCONVILLE LA GARENNE"</f>
        <v>FRANCONVILLE LA GARENNE</v>
      </c>
      <c r="J2678" t="str">
        <f>"01 39 32 66 01 "</f>
        <v xml:space="preserve">01 39 32 66 01 </v>
      </c>
      <c r="K2678" t="str">
        <f>"01 39 32 67 08"</f>
        <v>01 39 32 67 08</v>
      </c>
      <c r="L2678" s="1">
        <v>30225</v>
      </c>
      <c r="M2678" t="str">
        <f t="shared" si="395"/>
        <v>124</v>
      </c>
      <c r="N2678" t="str">
        <f t="shared" si="396"/>
        <v>Centre de Santé</v>
      </c>
      <c r="O2678" t="str">
        <f>"03"</f>
        <v>03</v>
      </c>
      <c r="P2678" t="str">
        <f>"Commune"</f>
        <v>Commune</v>
      </c>
      <c r="Q2678" t="str">
        <f t="shared" si="397"/>
        <v>36</v>
      </c>
      <c r="R2678" t="str">
        <f t="shared" si="398"/>
        <v>Tarifs conventionnels assurance maladie</v>
      </c>
      <c r="U2678" t="str">
        <f>"950802959"</f>
        <v>950802959</v>
      </c>
    </row>
    <row r="2679" spans="1:21" x14ac:dyDescent="0.3">
      <c r="A2679" t="str">
        <f>"120783972"</f>
        <v>120783972</v>
      </c>
      <c r="B2679" t="str">
        <f>"442 491 197 00723"</f>
        <v>442 491 197 00723</v>
      </c>
      <c r="D2679" t="str">
        <f>"CENTRE DENTAIRE MUTUALISTE RODEZ"</f>
        <v>CENTRE DENTAIRE MUTUALISTE RODEZ</v>
      </c>
      <c r="E2679" t="str">
        <f>"ETAGE 2 PORTE 1"</f>
        <v>ETAGE 2 PORTE 1</v>
      </c>
      <c r="F2679" t="str">
        <f>"31 AVENUE DE LA GINESTE"</f>
        <v>31 AVENUE DE LA GINESTE</v>
      </c>
      <c r="H2679" t="str">
        <f>"12000"</f>
        <v>12000</v>
      </c>
      <c r="I2679" t="str">
        <f>"RODEZ"</f>
        <v>RODEZ</v>
      </c>
      <c r="J2679" t="str">
        <f>"05 65 68 06 08 "</f>
        <v xml:space="preserve">05 65 68 06 08 </v>
      </c>
      <c r="K2679" t="str">
        <f>"05 65 68 83 18"</f>
        <v>05 65 68 83 18</v>
      </c>
      <c r="L2679" s="1">
        <v>30209</v>
      </c>
      <c r="M2679" t="str">
        <f t="shared" si="395"/>
        <v>124</v>
      </c>
      <c r="N2679" t="str">
        <f t="shared" si="396"/>
        <v>Centre de Santé</v>
      </c>
      <c r="O2679" t="str">
        <f>"47"</f>
        <v>47</v>
      </c>
      <c r="P2679" t="str">
        <f>"Société Mutualiste"</f>
        <v>Société Mutualiste</v>
      </c>
      <c r="Q2679" t="str">
        <f t="shared" si="397"/>
        <v>36</v>
      </c>
      <c r="R2679" t="str">
        <f t="shared" si="398"/>
        <v>Tarifs conventionnels assurance maladie</v>
      </c>
      <c r="U2679" t="str">
        <f>"120784616"</f>
        <v>120784616</v>
      </c>
    </row>
    <row r="2680" spans="1:21" x14ac:dyDescent="0.3">
      <c r="A2680" t="str">
        <f>"730784253"</f>
        <v>730784253</v>
      </c>
      <c r="D2680" t="str">
        <f>"CENTRE DE SANTE UMFMB ALBERTVILLE"</f>
        <v>CENTRE DE SANTE UMFMB ALBERTVILLE</v>
      </c>
      <c r="F2680" t="str">
        <f>"36 AVENUE DES CHASSEURS ALPINS"</f>
        <v>36 AVENUE DES CHASSEURS ALPINS</v>
      </c>
      <c r="H2680" t="str">
        <f>"73200"</f>
        <v>73200</v>
      </c>
      <c r="I2680" t="str">
        <f>"ALBERTVILLE"</f>
        <v>ALBERTVILLE</v>
      </c>
      <c r="J2680" t="str">
        <f>"04 79 32 19 61 "</f>
        <v xml:space="preserve">04 79 32 19 61 </v>
      </c>
      <c r="K2680" t="str">
        <f>"04 79 32 07 78"</f>
        <v>04 79 32 07 78</v>
      </c>
      <c r="L2680" s="1">
        <v>30202</v>
      </c>
      <c r="M2680" t="str">
        <f t="shared" si="395"/>
        <v>124</v>
      </c>
      <c r="N2680" t="str">
        <f t="shared" si="396"/>
        <v>Centre de Santé</v>
      </c>
      <c r="O2680" t="str">
        <f>"47"</f>
        <v>47</v>
      </c>
      <c r="P2680" t="str">
        <f>"Société Mutualiste"</f>
        <v>Société Mutualiste</v>
      </c>
      <c r="Q2680" t="str">
        <f t="shared" si="397"/>
        <v>36</v>
      </c>
      <c r="R2680" t="str">
        <f t="shared" si="398"/>
        <v>Tarifs conventionnels assurance maladie</v>
      </c>
      <c r="U2680" t="str">
        <f>"740787791"</f>
        <v>740787791</v>
      </c>
    </row>
    <row r="2681" spans="1:21" x14ac:dyDescent="0.3">
      <c r="A2681" t="str">
        <f>"020002440"</f>
        <v>020002440</v>
      </c>
      <c r="B2681" t="str">
        <f>"325 611 903 00031"</f>
        <v>325 611 903 00031</v>
      </c>
      <c r="D2681" t="str">
        <f>"CS ASVP SAINT-QUENTIN"</f>
        <v>CS ASVP SAINT-QUENTIN</v>
      </c>
      <c r="F2681" t="str">
        <f>"5 RUE PAUL DOUMER"</f>
        <v>5 RUE PAUL DOUMER</v>
      </c>
      <c r="H2681" t="str">
        <f>"02100"</f>
        <v>02100</v>
      </c>
      <c r="I2681" t="str">
        <f>"ST QUENTIN"</f>
        <v>ST QUENTIN</v>
      </c>
      <c r="J2681" t="str">
        <f>"03 23 62 35 25 "</f>
        <v xml:space="preserve">03 23 62 35 25 </v>
      </c>
      <c r="K2681" t="str">
        <f>"03 23 62 16 76"</f>
        <v>03 23 62 16 76</v>
      </c>
      <c r="L2681" s="1">
        <v>30195</v>
      </c>
      <c r="M2681" t="str">
        <f t="shared" si="395"/>
        <v>124</v>
      </c>
      <c r="N2681" t="str">
        <f t="shared" si="396"/>
        <v>Centre de Santé</v>
      </c>
      <c r="O2681" t="str">
        <f>"61"</f>
        <v>61</v>
      </c>
      <c r="P2681" t="str">
        <f>"Association Loi 1901 Reconnue d'Utilité Publique"</f>
        <v>Association Loi 1901 Reconnue d'Utilité Publique</v>
      </c>
      <c r="Q2681" t="str">
        <f t="shared" si="397"/>
        <v>36</v>
      </c>
      <c r="R2681" t="str">
        <f t="shared" si="398"/>
        <v>Tarifs conventionnels assurance maladie</v>
      </c>
      <c r="U2681" t="str">
        <f>"020000873"</f>
        <v>020000873</v>
      </c>
    </row>
    <row r="2682" spans="1:21" x14ac:dyDescent="0.3">
      <c r="A2682" t="str">
        <f>"650785850"</f>
        <v>650785850</v>
      </c>
      <c r="B2682" t="str">
        <f>"443 073 242 00028"</f>
        <v>443 073 242 00028</v>
      </c>
      <c r="D2682" t="str">
        <f>"CENTRE DE SANTE DENTAIRE LOUIS ARTIGUE"</f>
        <v>CENTRE DE SANTE DENTAIRE LOUIS ARTIGUE</v>
      </c>
      <c r="F2682" t="str">
        <f>"27 RUE LARREY"</f>
        <v>27 RUE LARREY</v>
      </c>
      <c r="H2682" t="str">
        <f>"65000"</f>
        <v>65000</v>
      </c>
      <c r="I2682" t="str">
        <f>"TARBES"</f>
        <v>TARBES</v>
      </c>
      <c r="J2682" t="str">
        <f>"05 62 34 62 38 "</f>
        <v xml:space="preserve">05 62 34 62 38 </v>
      </c>
      <c r="K2682" t="str">
        <f>"05 62 44 93 16"</f>
        <v>05 62 44 93 16</v>
      </c>
      <c r="L2682" s="1">
        <v>30195</v>
      </c>
      <c r="M2682" t="str">
        <f t="shared" si="395"/>
        <v>124</v>
      </c>
      <c r="N2682" t="str">
        <f t="shared" si="396"/>
        <v>Centre de Santé</v>
      </c>
      <c r="O2682" t="str">
        <f>"47"</f>
        <v>47</v>
      </c>
      <c r="P2682" t="str">
        <f>"Société Mutualiste"</f>
        <v>Société Mutualiste</v>
      </c>
      <c r="Q2682" t="str">
        <f t="shared" si="397"/>
        <v>36</v>
      </c>
      <c r="R2682" t="str">
        <f t="shared" si="398"/>
        <v>Tarifs conventionnels assurance maladie</v>
      </c>
      <c r="U2682" t="str">
        <f>"310791223"</f>
        <v>310791223</v>
      </c>
    </row>
    <row r="2683" spans="1:21" x14ac:dyDescent="0.3">
      <c r="A2683" t="str">
        <f>"020008801"</f>
        <v>020008801</v>
      </c>
      <c r="B2683" t="str">
        <f>"326 967 015 00016"</f>
        <v>326 967 015 00016</v>
      </c>
      <c r="D2683" t="str">
        <f>"CS RASSENFOSSE HIRSON"</f>
        <v>CS RASSENFOSSE HIRSON</v>
      </c>
      <c r="F2683" t="str">
        <f>"1 RUE LÉON BLUM"</f>
        <v>1 RUE LÉON BLUM</v>
      </c>
      <c r="H2683" t="str">
        <f>"02500"</f>
        <v>02500</v>
      </c>
      <c r="I2683" t="str">
        <f>"HIRSON"</f>
        <v>HIRSON</v>
      </c>
      <c r="J2683" t="str">
        <f>"03 23 58 13 40 "</f>
        <v xml:space="preserve">03 23 58 13 40 </v>
      </c>
      <c r="K2683" t="str">
        <f>"03 23 58 37 18"</f>
        <v>03 23 58 37 18</v>
      </c>
      <c r="L2683" s="1">
        <v>30076</v>
      </c>
      <c r="M2683" t="str">
        <f t="shared" si="395"/>
        <v>124</v>
      </c>
      <c r="N2683" t="str">
        <f t="shared" si="396"/>
        <v>Centre de Santé</v>
      </c>
      <c r="O2683" t="str">
        <f>"61"</f>
        <v>61</v>
      </c>
      <c r="P2683" t="str">
        <f>"Association Loi 1901 Reconnue d'Utilité Publique"</f>
        <v>Association Loi 1901 Reconnue d'Utilité Publique</v>
      </c>
      <c r="Q2683" t="str">
        <f t="shared" si="397"/>
        <v>36</v>
      </c>
      <c r="R2683" t="str">
        <f t="shared" si="398"/>
        <v>Tarifs conventionnels assurance maladie</v>
      </c>
      <c r="U2683" t="str">
        <f>"020009296"</f>
        <v>020009296</v>
      </c>
    </row>
    <row r="2684" spans="1:21" x14ac:dyDescent="0.3">
      <c r="A2684" t="str">
        <f>"930811518"</f>
        <v>930811518</v>
      </c>
      <c r="B2684" t="str">
        <f>"219 300 050 00909"</f>
        <v>219 300 050 00909</v>
      </c>
      <c r="D2684" t="str">
        <f>"CDS MEDICO-SOCIAL BALAGNY"</f>
        <v>CDS MEDICO-SOCIAL BALAGNY</v>
      </c>
      <c r="F2684" t="str">
        <f>"2 RUE DU LIMOUSIN"</f>
        <v>2 RUE DU LIMOUSIN</v>
      </c>
      <c r="H2684" t="str">
        <f>"93600"</f>
        <v>93600</v>
      </c>
      <c r="I2684" t="str">
        <f>"AULNAY SOUS BOIS"</f>
        <v>AULNAY SOUS BOIS</v>
      </c>
      <c r="J2684" t="str">
        <f>"01 48 69 47 43 "</f>
        <v xml:space="preserve">01 48 69 47 43 </v>
      </c>
      <c r="K2684" t="str">
        <f>"01 48 69 39 29"</f>
        <v>01 48 69 39 29</v>
      </c>
      <c r="L2684" s="1">
        <v>30075</v>
      </c>
      <c r="M2684" t="str">
        <f t="shared" si="395"/>
        <v>124</v>
      </c>
      <c r="N2684" t="str">
        <f t="shared" si="396"/>
        <v>Centre de Santé</v>
      </c>
      <c r="O2684" t="str">
        <f>"03"</f>
        <v>03</v>
      </c>
      <c r="P2684" t="str">
        <f>"Commune"</f>
        <v>Commune</v>
      </c>
      <c r="Q2684" t="str">
        <f t="shared" si="397"/>
        <v>36</v>
      </c>
      <c r="R2684" t="str">
        <f t="shared" si="398"/>
        <v>Tarifs conventionnels assurance maladie</v>
      </c>
      <c r="U2684" t="str">
        <f>"930812870"</f>
        <v>930812870</v>
      </c>
    </row>
    <row r="2685" spans="1:21" x14ac:dyDescent="0.3">
      <c r="A2685" t="str">
        <f>"370100067"</f>
        <v>370100067</v>
      </c>
      <c r="B2685" t="str">
        <f>"775 347 891 00050"</f>
        <v>775 347 891 00050</v>
      </c>
      <c r="D2685" t="str">
        <f>"CTRE DENTAIRE MUTUALITÉ FRANCAISE"</f>
        <v>CTRE DENTAIRE MUTUALITÉ FRANCAISE</v>
      </c>
      <c r="F2685" t="str">
        <f>"27 AVENUE GAMBETTA"</f>
        <v>27 AVENUE GAMBETTA</v>
      </c>
      <c r="H2685" t="str">
        <f>"37500"</f>
        <v>37500</v>
      </c>
      <c r="I2685" t="str">
        <f>"CHINON"</f>
        <v>CHINON</v>
      </c>
      <c r="J2685" t="str">
        <f>"02 47 98 24 28 "</f>
        <v xml:space="preserve">02 47 98 24 28 </v>
      </c>
      <c r="L2685" s="1">
        <v>30067</v>
      </c>
      <c r="M2685" t="str">
        <f t="shared" si="395"/>
        <v>124</v>
      </c>
      <c r="N2685" t="str">
        <f t="shared" si="396"/>
        <v>Centre de Santé</v>
      </c>
      <c r="O2685" t="str">
        <f>"47"</f>
        <v>47</v>
      </c>
      <c r="P2685" t="str">
        <f>"Société Mutualiste"</f>
        <v>Société Mutualiste</v>
      </c>
      <c r="Q2685" t="str">
        <f t="shared" si="397"/>
        <v>36</v>
      </c>
      <c r="R2685" t="str">
        <f t="shared" si="398"/>
        <v>Tarifs conventionnels assurance maladie</v>
      </c>
      <c r="U2685" t="str">
        <f>"370100935"</f>
        <v>370100935</v>
      </c>
    </row>
    <row r="2686" spans="1:21" x14ac:dyDescent="0.3">
      <c r="A2686" t="str">
        <f>"760802116"</f>
        <v>760802116</v>
      </c>
      <c r="B2686" t="str">
        <f>"794 994 277 01677"</f>
        <v>794 994 277 01677</v>
      </c>
      <c r="D2686" t="str">
        <f>"CLINIQUE DENTAIRE MUTUALISTE"</f>
        <v>CLINIQUE DENTAIRE MUTUALISTE</v>
      </c>
      <c r="F2686" t="str">
        <f>"3 RUE MARTYRS DE LA RESISTANCE"</f>
        <v>3 RUE MARTYRS DE LA RESISTANCE</v>
      </c>
      <c r="H2686" t="str">
        <f>"76150"</f>
        <v>76150</v>
      </c>
      <c r="I2686" t="str">
        <f>"MAROMME"</f>
        <v>MAROMME</v>
      </c>
      <c r="J2686" t="str">
        <f>"02 32 82 80 90 "</f>
        <v xml:space="preserve">02 32 82 80 90 </v>
      </c>
      <c r="L2686" s="1">
        <v>30019</v>
      </c>
      <c r="M2686" t="str">
        <f t="shared" si="395"/>
        <v>124</v>
      </c>
      <c r="N2686" t="str">
        <f t="shared" si="396"/>
        <v>Centre de Santé</v>
      </c>
      <c r="O2686" t="str">
        <f>"47"</f>
        <v>47</v>
      </c>
      <c r="P2686" t="str">
        <f>"Société Mutualiste"</f>
        <v>Société Mutualiste</v>
      </c>
      <c r="Q2686" t="str">
        <f t="shared" si="397"/>
        <v>36</v>
      </c>
      <c r="R2686" t="str">
        <f t="shared" si="398"/>
        <v>Tarifs conventionnels assurance maladie</v>
      </c>
      <c r="U2686" t="str">
        <f>"760000539"</f>
        <v>760000539</v>
      </c>
    </row>
    <row r="2687" spans="1:21" x14ac:dyDescent="0.3">
      <c r="A2687" t="str">
        <f>"440026052"</f>
        <v>440026052</v>
      </c>
      <c r="B2687" t="str">
        <f>"311 426 274 00040"</f>
        <v>311 426 274 00040</v>
      </c>
      <c r="D2687" t="str">
        <f>"CSI ASSIRNO"</f>
        <v>CSI ASSIRNO</v>
      </c>
      <c r="F2687" t="str">
        <f>"110 IMPASSE DES TERRASSES DE LA CHESNAI"</f>
        <v>110 IMPASSE DES TERRASSES DE LA CHESNAI</v>
      </c>
      <c r="H2687" t="str">
        <f>"44170"</f>
        <v>44170</v>
      </c>
      <c r="I2687" t="str">
        <f>"NOZAY"</f>
        <v>NOZAY</v>
      </c>
      <c r="J2687" t="str">
        <f>"02 40 79 41 12 "</f>
        <v xml:space="preserve">02 40 79 41 12 </v>
      </c>
      <c r="K2687" t="str">
        <f>"02 40 79 59 27"</f>
        <v>02 40 79 59 27</v>
      </c>
      <c r="L2687" s="1">
        <v>30011</v>
      </c>
      <c r="M2687" t="str">
        <f t="shared" si="395"/>
        <v>124</v>
      </c>
      <c r="N2687" t="str">
        <f t="shared" si="396"/>
        <v>Centre de Santé</v>
      </c>
      <c r="O2687" t="str">
        <f>"60"</f>
        <v>60</v>
      </c>
      <c r="P2687" t="str">
        <f>"Association Loi 1901 non Reconnue d'Utilité Publique"</f>
        <v>Association Loi 1901 non Reconnue d'Utilité Publique</v>
      </c>
      <c r="Q2687" t="str">
        <f t="shared" si="397"/>
        <v>36</v>
      </c>
      <c r="R2687" t="str">
        <f t="shared" si="398"/>
        <v>Tarifs conventionnels assurance maladie</v>
      </c>
      <c r="U2687" t="str">
        <f>"440010155"</f>
        <v>440010155</v>
      </c>
    </row>
    <row r="2688" spans="1:21" x14ac:dyDescent="0.3">
      <c r="A2688" t="str">
        <f>"780790010"</f>
        <v>780790010</v>
      </c>
      <c r="B2688" t="str">
        <f>"217 805 860 00350"</f>
        <v>217 805 860 00350</v>
      </c>
      <c r="D2688" t="str">
        <f>"CDS MUNICIPAL YVES CULOT"</f>
        <v>CDS MUNICIPAL YVES CULOT</v>
      </c>
      <c r="F2688" t="str">
        <f>"25 PROMENADE MAXIME GORKI"</f>
        <v>25 PROMENADE MAXIME GORKI</v>
      </c>
      <c r="H2688" t="str">
        <f>"78500"</f>
        <v>78500</v>
      </c>
      <c r="I2688" t="str">
        <f>"SARTROUVILLE"</f>
        <v>SARTROUVILLE</v>
      </c>
      <c r="J2688" t="str">
        <f>"01 39 14 68 61 "</f>
        <v xml:space="preserve">01 39 14 68 61 </v>
      </c>
      <c r="K2688" t="str">
        <f>"01 39 14 78 52"</f>
        <v>01 39 14 78 52</v>
      </c>
      <c r="L2688" s="1">
        <v>29953</v>
      </c>
      <c r="M2688" t="str">
        <f t="shared" si="395"/>
        <v>124</v>
      </c>
      <c r="N2688" t="str">
        <f t="shared" si="396"/>
        <v>Centre de Santé</v>
      </c>
      <c r="O2688" t="str">
        <f>"03"</f>
        <v>03</v>
      </c>
      <c r="P2688" t="str">
        <f>"Commune"</f>
        <v>Commune</v>
      </c>
      <c r="Q2688" t="str">
        <f t="shared" si="397"/>
        <v>36</v>
      </c>
      <c r="R2688" t="str">
        <f t="shared" si="398"/>
        <v>Tarifs conventionnels assurance maladie</v>
      </c>
      <c r="U2688" t="str">
        <f>"780809075"</f>
        <v>780809075</v>
      </c>
    </row>
    <row r="2689" spans="1:21" x14ac:dyDescent="0.3">
      <c r="A2689" t="str">
        <f>"330783796"</f>
        <v>330783796</v>
      </c>
      <c r="D2689" t="str">
        <f>"CENTRE DE SOINS INFIRMIERS"</f>
        <v>CENTRE DE SOINS INFIRMIERS</v>
      </c>
      <c r="E2689" t="str">
        <f>"A.S.P.M.S."</f>
        <v>A.S.P.M.S.</v>
      </c>
      <c r="F2689" t="str">
        <f>"7 PLACE DE LA REPUBLIQUE"</f>
        <v>7 PLACE DE LA REPUBLIQUE</v>
      </c>
      <c r="H2689" t="str">
        <f>"33600"</f>
        <v>33600</v>
      </c>
      <c r="I2689" t="str">
        <f>"PESSAC"</f>
        <v>PESSAC</v>
      </c>
      <c r="J2689" t="str">
        <f>"05 56 45 02 93 "</f>
        <v xml:space="preserve">05 56 45 02 93 </v>
      </c>
      <c r="L2689" s="1">
        <v>29952</v>
      </c>
      <c r="M2689" t="str">
        <f t="shared" si="395"/>
        <v>124</v>
      </c>
      <c r="N2689" t="str">
        <f t="shared" si="396"/>
        <v>Centre de Santé</v>
      </c>
      <c r="O2689" t="str">
        <f>"60"</f>
        <v>60</v>
      </c>
      <c r="P2689" t="str">
        <f>"Association Loi 1901 non Reconnue d'Utilité Publique"</f>
        <v>Association Loi 1901 non Reconnue d'Utilité Publique</v>
      </c>
      <c r="Q2689" t="str">
        <f t="shared" si="397"/>
        <v>36</v>
      </c>
      <c r="R2689" t="str">
        <f t="shared" si="398"/>
        <v>Tarifs conventionnels assurance maladie</v>
      </c>
      <c r="U2689" t="str">
        <f>"330001306"</f>
        <v>330001306</v>
      </c>
    </row>
    <row r="2690" spans="1:21" x14ac:dyDescent="0.3">
      <c r="A2690" t="str">
        <f>"380789727"</f>
        <v>380789727</v>
      </c>
      <c r="B2690" t="str">
        <f>"213 802 127 00067"</f>
        <v>213 802 127 00067</v>
      </c>
      <c r="D2690" t="str">
        <f>"CENTRE DE SANTE LIVET-ET-GAVET"</f>
        <v>CENTRE DE SANTE LIVET-ET-GAVET</v>
      </c>
      <c r="F2690" t="str">
        <f>"58 ROUTE DES ALPES"</f>
        <v>58 ROUTE DES ALPES</v>
      </c>
      <c r="H2690" t="str">
        <f>"38220"</f>
        <v>38220</v>
      </c>
      <c r="I2690" t="str">
        <f>"LIVET ET GAVET"</f>
        <v>LIVET ET GAVET</v>
      </c>
      <c r="J2690" t="str">
        <f>"04 76 68 42 11 "</f>
        <v xml:space="preserve">04 76 68 42 11 </v>
      </c>
      <c r="L2690" s="1">
        <v>29952</v>
      </c>
      <c r="M2690" t="str">
        <f t="shared" ref="M2690:M2753" si="399">"124"</f>
        <v>124</v>
      </c>
      <c r="N2690" t="str">
        <f t="shared" ref="N2690:N2753" si="400">"Centre de Santé"</f>
        <v>Centre de Santé</v>
      </c>
      <c r="O2690" t="str">
        <f>"03"</f>
        <v>03</v>
      </c>
      <c r="P2690" t="str">
        <f>"Commune"</f>
        <v>Commune</v>
      </c>
      <c r="Q2690" t="str">
        <f t="shared" si="397"/>
        <v>36</v>
      </c>
      <c r="R2690" t="str">
        <f t="shared" si="398"/>
        <v>Tarifs conventionnels assurance maladie</v>
      </c>
      <c r="U2690" t="str">
        <f>"380790618"</f>
        <v>380790618</v>
      </c>
    </row>
    <row r="2691" spans="1:21" x14ac:dyDescent="0.3">
      <c r="A2691" t="str">
        <f>"530002492"</f>
        <v>530002492</v>
      </c>
      <c r="B2691" t="str">
        <f>"311 051 890 00029"</f>
        <v>311 051 890 00029</v>
      </c>
      <c r="D2691" t="str">
        <f>"CSI SAINT PIERRE LA COUR"</f>
        <v>CSI SAINT PIERRE LA COUR</v>
      </c>
      <c r="F2691" t="str">
        <f>"1 RUE DES GENETS"</f>
        <v>1 RUE DES GENETS</v>
      </c>
      <c r="H2691" t="str">
        <f>"53410"</f>
        <v>53410</v>
      </c>
      <c r="I2691" t="str">
        <f>"ST PIERRE LA COUR"</f>
        <v>ST PIERRE LA COUR</v>
      </c>
      <c r="J2691" t="str">
        <f>"02 43 01 83 93 "</f>
        <v xml:space="preserve">02 43 01 83 93 </v>
      </c>
      <c r="K2691" t="str">
        <f>"02 43 01 83 93"</f>
        <v>02 43 01 83 93</v>
      </c>
      <c r="L2691" s="1">
        <v>29952</v>
      </c>
      <c r="M2691" t="str">
        <f t="shared" si="399"/>
        <v>124</v>
      </c>
      <c r="N2691" t="str">
        <f t="shared" si="400"/>
        <v>Centre de Santé</v>
      </c>
      <c r="O2691" t="str">
        <f>"60"</f>
        <v>60</v>
      </c>
      <c r="P2691" t="str">
        <f>"Association Loi 1901 non Reconnue d'Utilité Publique"</f>
        <v>Association Loi 1901 non Reconnue d'Utilité Publique</v>
      </c>
      <c r="Q2691" t="str">
        <f t="shared" si="397"/>
        <v>36</v>
      </c>
      <c r="R2691" t="str">
        <f t="shared" si="398"/>
        <v>Tarifs conventionnels assurance maladie</v>
      </c>
      <c r="U2691" t="str">
        <f>"530029081"</f>
        <v>530029081</v>
      </c>
    </row>
    <row r="2692" spans="1:21" x14ac:dyDescent="0.3">
      <c r="A2692" t="str">
        <f>"540002524"</f>
        <v>540002524</v>
      </c>
      <c r="B2692" t="str">
        <f>"803 850 080 00117"</f>
        <v>803 850 080 00117</v>
      </c>
      <c r="D2692" t="str">
        <f>"CTRE DE SOINS INFIRMIERS SAINTE MARIE"</f>
        <v>CTRE DE SOINS INFIRMIERS SAINTE MARIE</v>
      </c>
      <c r="F2692" t="str">
        <f>"6 RUE DE L'ABBE DIDELOT"</f>
        <v>6 RUE DE L'ABBE DIDELOT</v>
      </c>
      <c r="H2692" t="str">
        <f>"54000"</f>
        <v>54000</v>
      </c>
      <c r="I2692" t="str">
        <f>"NANCY"</f>
        <v>NANCY</v>
      </c>
      <c r="J2692" t="str">
        <f>"03 83 35 09 03 "</f>
        <v xml:space="preserve">03 83 35 09 03 </v>
      </c>
      <c r="L2692" s="1">
        <v>29929</v>
      </c>
      <c r="M2692" t="str">
        <f t="shared" si="399"/>
        <v>124</v>
      </c>
      <c r="N2692" t="str">
        <f t="shared" si="400"/>
        <v>Centre de Santé</v>
      </c>
      <c r="O2692" t="str">
        <f>"63"</f>
        <v>63</v>
      </c>
      <c r="P2692" t="str">
        <f>"Fondation"</f>
        <v>Fondation</v>
      </c>
      <c r="Q2692" t="str">
        <f t="shared" si="397"/>
        <v>36</v>
      </c>
      <c r="R2692" t="str">
        <f t="shared" si="398"/>
        <v>Tarifs conventionnels assurance maladie</v>
      </c>
      <c r="U2692" t="str">
        <f>"540023405"</f>
        <v>540023405</v>
      </c>
    </row>
    <row r="2693" spans="1:21" x14ac:dyDescent="0.3">
      <c r="A2693" t="str">
        <f>"910800903"</f>
        <v>910800903</v>
      </c>
      <c r="B2693" t="str">
        <f>"249 100 348 00070"</f>
        <v>249 100 348 00070</v>
      </c>
      <c r="D2693" t="str">
        <f>"CDS MUNICIPAL DE SANTE DES EPINETTES"</f>
        <v>CDS MUNICIPAL DE SANTE DES EPINETTES</v>
      </c>
      <c r="E2693" t="str">
        <f>"14  IMPASSE MAXIME LISBONNE"</f>
        <v>14  IMPASSE MAXIME LISBONNE</v>
      </c>
      <c r="F2693" t="str">
        <f>"ALLEE DE LA COMMUNE"</f>
        <v>ALLEE DE LA COMMUNE</v>
      </c>
      <c r="G2693" t="str">
        <f>"ZAC DES EPINETTES"</f>
        <v>ZAC DES EPINETTES</v>
      </c>
      <c r="H2693" t="str">
        <f>"91000"</f>
        <v>91000</v>
      </c>
      <c r="I2693" t="str">
        <f>"EVRY COURCOURONNES"</f>
        <v>EVRY COURCOURONNES</v>
      </c>
      <c r="J2693" t="str">
        <f>"01 60 79 22 22 "</f>
        <v xml:space="preserve">01 60 79 22 22 </v>
      </c>
      <c r="K2693" t="str">
        <f>"01 60 79 25 57"</f>
        <v>01 60 79 25 57</v>
      </c>
      <c r="L2693" s="1">
        <v>29891</v>
      </c>
      <c r="M2693" t="str">
        <f t="shared" si="399"/>
        <v>124</v>
      </c>
      <c r="N2693" t="str">
        <f t="shared" si="400"/>
        <v>Centre de Santé</v>
      </c>
      <c r="O2693" t="str">
        <f>"02"</f>
        <v>02</v>
      </c>
      <c r="P2693" t="str">
        <f>"Département"</f>
        <v>Département</v>
      </c>
      <c r="Q2693" t="str">
        <f t="shared" si="397"/>
        <v>36</v>
      </c>
      <c r="R2693" t="str">
        <f t="shared" si="398"/>
        <v>Tarifs conventionnels assurance maladie</v>
      </c>
      <c r="U2693" t="str">
        <f>"910807064"</f>
        <v>910807064</v>
      </c>
    </row>
    <row r="2694" spans="1:21" x14ac:dyDescent="0.3">
      <c r="A2694" t="str">
        <f>"120782933"</f>
        <v>120782933</v>
      </c>
      <c r="B2694" t="str">
        <f>"442 491 197 00376"</f>
        <v>442 491 197 00376</v>
      </c>
      <c r="D2694" t="str">
        <f>"CDS INFIRMIERS VILLECOMTAL UDSMA"</f>
        <v>CDS INFIRMIERS VILLECOMTAL UDSMA</v>
      </c>
      <c r="F2694" t="str">
        <f>"ZONE ARTISANALE CABASSAR"</f>
        <v>ZONE ARTISANALE CABASSAR</v>
      </c>
      <c r="H2694" t="str">
        <f>"12580"</f>
        <v>12580</v>
      </c>
      <c r="I2694" t="str">
        <f>"VILLECOMTAL"</f>
        <v>VILLECOMTAL</v>
      </c>
      <c r="J2694" t="str">
        <f>"05 65 44 64 06 "</f>
        <v xml:space="preserve">05 65 44 64 06 </v>
      </c>
      <c r="L2694" s="1">
        <v>29886</v>
      </c>
      <c r="M2694" t="str">
        <f t="shared" si="399"/>
        <v>124</v>
      </c>
      <c r="N2694" t="str">
        <f t="shared" si="400"/>
        <v>Centre de Santé</v>
      </c>
      <c r="O2694" t="str">
        <f>"47"</f>
        <v>47</v>
      </c>
      <c r="P2694" t="str">
        <f>"Société Mutualiste"</f>
        <v>Société Mutualiste</v>
      </c>
      <c r="Q2694" t="str">
        <f t="shared" si="397"/>
        <v>36</v>
      </c>
      <c r="R2694" t="str">
        <f t="shared" si="398"/>
        <v>Tarifs conventionnels assurance maladie</v>
      </c>
      <c r="U2694" t="str">
        <f>"120784616"</f>
        <v>120784616</v>
      </c>
    </row>
    <row r="2695" spans="1:21" x14ac:dyDescent="0.3">
      <c r="A2695" t="str">
        <f>"590791646"</f>
        <v>590791646</v>
      </c>
      <c r="B2695" t="str">
        <f>"301 311 452 00025"</f>
        <v>301 311 452 00025</v>
      </c>
      <c r="D2695" t="str">
        <f>"CENTRE DE SOINS MEDICAUX"</f>
        <v>CENTRE DE SOINS MEDICAUX</v>
      </c>
      <c r="F2695" t="str">
        <f>"109 RUE D'HEM"</f>
        <v>109 RUE D'HEM</v>
      </c>
      <c r="H2695" t="str">
        <f>"59650"</f>
        <v>59650</v>
      </c>
      <c r="I2695" t="str">
        <f>"VILLENEUVE D ASCQ"</f>
        <v>VILLENEUVE D ASCQ</v>
      </c>
      <c r="J2695" t="str">
        <f>"03 20 05 70 00 "</f>
        <v xml:space="preserve">03 20 05 70 00 </v>
      </c>
      <c r="L2695" s="1">
        <v>29860</v>
      </c>
      <c r="M2695" t="str">
        <f t="shared" si="399"/>
        <v>124</v>
      </c>
      <c r="N2695" t="str">
        <f t="shared" si="400"/>
        <v>Centre de Santé</v>
      </c>
      <c r="O2695" t="str">
        <f>"95"</f>
        <v>95</v>
      </c>
      <c r="P2695" t="str">
        <f>"Société par Actions Simplifiée (S.A.S.)"</f>
        <v>Société par Actions Simplifiée (S.A.S.)</v>
      </c>
      <c r="Q2695" t="str">
        <f t="shared" si="397"/>
        <v>36</v>
      </c>
      <c r="R2695" t="str">
        <f t="shared" si="398"/>
        <v>Tarifs conventionnels assurance maladie</v>
      </c>
      <c r="U2695" t="str">
        <f>"590000733"</f>
        <v>590000733</v>
      </c>
    </row>
    <row r="2696" spans="1:21" x14ac:dyDescent="0.3">
      <c r="A2696" t="str">
        <f>"130799752"</f>
        <v>130799752</v>
      </c>
      <c r="D2696" t="str">
        <f>"CSP OXANCE MARTIGUES"</f>
        <v>CSP OXANCE MARTIGUES</v>
      </c>
      <c r="F2696" t="str">
        <f>"AVENUE CALMETTE ET GUERIN"</f>
        <v>AVENUE CALMETTE ET GUERIN</v>
      </c>
      <c r="H2696" t="str">
        <f>"13500"</f>
        <v>13500</v>
      </c>
      <c r="I2696" t="str">
        <f>"MARTIGUES"</f>
        <v>MARTIGUES</v>
      </c>
      <c r="J2696" t="str">
        <f>"04 96 19 10 82 "</f>
        <v xml:space="preserve">04 96 19 10 82 </v>
      </c>
      <c r="L2696" s="1">
        <v>29857</v>
      </c>
      <c r="M2696" t="str">
        <f t="shared" si="399"/>
        <v>124</v>
      </c>
      <c r="N2696" t="str">
        <f t="shared" si="400"/>
        <v>Centre de Santé</v>
      </c>
      <c r="O2696" t="str">
        <f>"47"</f>
        <v>47</v>
      </c>
      <c r="P2696" t="str">
        <f>"Société Mutualiste"</f>
        <v>Société Mutualiste</v>
      </c>
      <c r="Q2696" t="str">
        <f t="shared" si="397"/>
        <v>36</v>
      </c>
      <c r="R2696" t="str">
        <f t="shared" si="398"/>
        <v>Tarifs conventionnels assurance maladie</v>
      </c>
      <c r="U2696" t="str">
        <f>"690048111"</f>
        <v>690048111</v>
      </c>
    </row>
    <row r="2697" spans="1:21" x14ac:dyDescent="0.3">
      <c r="A2697" t="str">
        <f>"870003308"</f>
        <v>870003308</v>
      </c>
      <c r="B2697" t="str">
        <f>"775 716 673 00238"</f>
        <v>775 716 673 00238</v>
      </c>
      <c r="D2697" t="str">
        <f>"CLINIQUE DENTAIRE MUTUALISTE"</f>
        <v>CLINIQUE DENTAIRE MUTUALISTE</v>
      </c>
      <c r="F2697" t="str">
        <f>"62 BOULEVARD DE L'HOTEL DE VILLE"</f>
        <v>62 BOULEVARD DE L'HOTEL DE VILLE</v>
      </c>
      <c r="H2697" t="str">
        <f>"87500"</f>
        <v>87500</v>
      </c>
      <c r="I2697" t="str">
        <f>"ST YRIEIX LA PERCHE"</f>
        <v>ST YRIEIX LA PERCHE</v>
      </c>
      <c r="J2697" t="str">
        <f>"05 55 75 01 55 "</f>
        <v xml:space="preserve">05 55 75 01 55 </v>
      </c>
      <c r="L2697" s="1">
        <v>29830</v>
      </c>
      <c r="M2697" t="str">
        <f t="shared" si="399"/>
        <v>124</v>
      </c>
      <c r="N2697" t="str">
        <f t="shared" si="400"/>
        <v>Centre de Santé</v>
      </c>
      <c r="O2697" t="str">
        <f>"47"</f>
        <v>47</v>
      </c>
      <c r="P2697" t="str">
        <f>"Société Mutualiste"</f>
        <v>Société Mutualiste</v>
      </c>
      <c r="Q2697" t="str">
        <f t="shared" si="397"/>
        <v>36</v>
      </c>
      <c r="R2697" t="str">
        <f t="shared" si="398"/>
        <v>Tarifs conventionnels assurance maladie</v>
      </c>
      <c r="U2697" t="str">
        <f>"870016722"</f>
        <v>870016722</v>
      </c>
    </row>
    <row r="2698" spans="1:21" x14ac:dyDescent="0.3">
      <c r="A2698" t="str">
        <f>"930010921"</f>
        <v>930010921</v>
      </c>
      <c r="B2698" t="str">
        <f>"219 300 662 00752"</f>
        <v>219 300 662 00752</v>
      </c>
      <c r="D2698" t="str">
        <f>"CDS MUNICIPAL DE SANTE LES MOULINS"</f>
        <v>CDS MUNICIPAL DE SANTE LES MOULINS</v>
      </c>
      <c r="F2698" t="str">
        <f>"40 RUE AUGUSTE POULLAIN"</f>
        <v>40 RUE AUGUSTE POULLAIN</v>
      </c>
      <c r="H2698" t="str">
        <f>"93200"</f>
        <v>93200</v>
      </c>
      <c r="I2698" t="str">
        <f>"ST DENIS"</f>
        <v>ST DENIS</v>
      </c>
      <c r="J2698" t="str">
        <f>"01 48 29 46 00 "</f>
        <v xml:space="preserve">01 48 29 46 00 </v>
      </c>
      <c r="K2698" t="str">
        <f>"01 48 22 55 05"</f>
        <v>01 48 22 55 05</v>
      </c>
      <c r="L2698" s="1">
        <v>29830</v>
      </c>
      <c r="M2698" t="str">
        <f t="shared" si="399"/>
        <v>124</v>
      </c>
      <c r="N2698" t="str">
        <f t="shared" si="400"/>
        <v>Centre de Santé</v>
      </c>
      <c r="O2698" t="str">
        <f>"03"</f>
        <v>03</v>
      </c>
      <c r="P2698" t="str">
        <f>"Commune"</f>
        <v>Commune</v>
      </c>
      <c r="Q2698" t="str">
        <f t="shared" si="397"/>
        <v>36</v>
      </c>
      <c r="R2698" t="str">
        <f t="shared" si="398"/>
        <v>Tarifs conventionnels assurance maladie</v>
      </c>
      <c r="U2698" t="str">
        <f>"930813159"</f>
        <v>930813159</v>
      </c>
    </row>
    <row r="2699" spans="1:21" x14ac:dyDescent="0.3">
      <c r="A2699" t="str">
        <f>"900003476"</f>
        <v>900003476</v>
      </c>
      <c r="B2699" t="str">
        <f>"322 491 804 00017"</f>
        <v>322 491 804 00017</v>
      </c>
      <c r="D2699" t="str">
        <f>"CENTRE SANTE LEON BLUM"</f>
        <v>CENTRE SANTE LEON BLUM</v>
      </c>
      <c r="F2699" t="str">
        <f>"23 RUE DE BRUXELLES"</f>
        <v>23 RUE DE BRUXELLES</v>
      </c>
      <c r="H2699" t="str">
        <f>"90000"</f>
        <v>90000</v>
      </c>
      <c r="I2699" t="str">
        <f>"BELFORT"</f>
        <v>BELFORT</v>
      </c>
      <c r="J2699" t="str">
        <f>"03 84 57 30 30 "</f>
        <v xml:space="preserve">03 84 57 30 30 </v>
      </c>
      <c r="L2699" s="1">
        <v>29768</v>
      </c>
      <c r="M2699" t="str">
        <f t="shared" si="399"/>
        <v>124</v>
      </c>
      <c r="N2699" t="str">
        <f t="shared" si="400"/>
        <v>Centre de Santé</v>
      </c>
      <c r="O2699" t="str">
        <f>"60"</f>
        <v>60</v>
      </c>
      <c r="P2699" t="str">
        <f>"Association Loi 1901 non Reconnue d'Utilité Publique"</f>
        <v>Association Loi 1901 non Reconnue d'Utilité Publique</v>
      </c>
      <c r="Q2699" t="str">
        <f t="shared" si="397"/>
        <v>36</v>
      </c>
      <c r="R2699" t="str">
        <f t="shared" si="398"/>
        <v>Tarifs conventionnels assurance maladie</v>
      </c>
      <c r="U2699" t="str">
        <f>"900003591"</f>
        <v>900003591</v>
      </c>
    </row>
    <row r="2700" spans="1:21" x14ac:dyDescent="0.3">
      <c r="A2700" t="str">
        <f>"540008521"</f>
        <v>540008521</v>
      </c>
      <c r="B2700" t="str">
        <f>"803 850 080 00042"</f>
        <v>803 850 080 00042</v>
      </c>
      <c r="D2700" t="str">
        <f>"CENTRE DE SOINS  INFIRMIERS"</f>
        <v>CENTRE DE SOINS  INFIRMIERS</v>
      </c>
      <c r="F2700" t="str">
        <f>"70 RUE DE LILLE"</f>
        <v>70 RUE DE LILLE</v>
      </c>
      <c r="H2700" t="str">
        <f>"54350"</f>
        <v>54350</v>
      </c>
      <c r="I2700" t="str">
        <f>"MONT ST MARTIN"</f>
        <v>MONT ST MARTIN</v>
      </c>
      <c r="J2700" t="str">
        <f>"03 82 44 78 91 "</f>
        <v xml:space="preserve">03 82 44 78 91 </v>
      </c>
      <c r="L2700" s="1">
        <v>29670</v>
      </c>
      <c r="M2700" t="str">
        <f t="shared" si="399"/>
        <v>124</v>
      </c>
      <c r="N2700" t="str">
        <f t="shared" si="400"/>
        <v>Centre de Santé</v>
      </c>
      <c r="O2700" t="str">
        <f>"63"</f>
        <v>63</v>
      </c>
      <c r="P2700" t="str">
        <f>"Fondation"</f>
        <v>Fondation</v>
      </c>
      <c r="Q2700" t="str">
        <f t="shared" si="397"/>
        <v>36</v>
      </c>
      <c r="R2700" t="str">
        <f t="shared" si="398"/>
        <v>Tarifs conventionnels assurance maladie</v>
      </c>
      <c r="U2700" t="str">
        <f>"540023405"</f>
        <v>540023405</v>
      </c>
    </row>
    <row r="2701" spans="1:21" x14ac:dyDescent="0.3">
      <c r="A2701" t="str">
        <f>"700780620"</f>
        <v>700780620</v>
      </c>
      <c r="B2701" t="str">
        <f>"322 190 489 00029"</f>
        <v>322 190 489 00029</v>
      </c>
      <c r="D2701" t="str">
        <f>"CENTRE DE SOINS LES GAVOTTES"</f>
        <v>CENTRE DE SOINS LES GAVOTTES</v>
      </c>
      <c r="F2701" t="str">
        <f>"RUE DU STADE"</f>
        <v>RUE DU STADE</v>
      </c>
      <c r="H2701" t="str">
        <f>"70180"</f>
        <v>70180</v>
      </c>
      <c r="I2701" t="str">
        <f>"DAMPIERRE SUR SALON"</f>
        <v>DAMPIERRE SUR SALON</v>
      </c>
      <c r="J2701" t="str">
        <f>"03 84 67 10 27 "</f>
        <v xml:space="preserve">03 84 67 10 27 </v>
      </c>
      <c r="K2701" t="str">
        <f>"03 84 67 12 74"</f>
        <v>03 84 67 12 74</v>
      </c>
      <c r="L2701" s="1">
        <v>29668</v>
      </c>
      <c r="M2701" t="str">
        <f t="shared" si="399"/>
        <v>124</v>
      </c>
      <c r="N2701" t="str">
        <f t="shared" si="400"/>
        <v>Centre de Santé</v>
      </c>
      <c r="O2701" t="str">
        <f>"60"</f>
        <v>60</v>
      </c>
      <c r="P2701" t="str">
        <f>"Association Loi 1901 non Reconnue d'Utilité Publique"</f>
        <v>Association Loi 1901 non Reconnue d'Utilité Publique</v>
      </c>
      <c r="Q2701" t="str">
        <f t="shared" si="397"/>
        <v>36</v>
      </c>
      <c r="R2701" t="str">
        <f t="shared" si="398"/>
        <v>Tarifs conventionnels assurance maladie</v>
      </c>
      <c r="U2701" t="str">
        <f>"700000250"</f>
        <v>700000250</v>
      </c>
    </row>
    <row r="2702" spans="1:21" x14ac:dyDescent="0.3">
      <c r="A2702" t="str">
        <f>"590796124"</f>
        <v>590796124</v>
      </c>
      <c r="B2702" t="str">
        <f>"265 901 553 00031"</f>
        <v>265 901 553 00031</v>
      </c>
      <c r="D2702" t="str">
        <f>"CENTRE DE SOINS S.DELMAERE"</f>
        <v>CENTRE DE SOINS S.DELMAERE</v>
      </c>
      <c r="F2702" t="str">
        <f>"44 RUE G DELORY"</f>
        <v>44 RUE G DELORY</v>
      </c>
      <c r="H2702" t="str">
        <f>"59210"</f>
        <v>59210</v>
      </c>
      <c r="I2702" t="str">
        <f>"COUDEKERQUE BRANCHE"</f>
        <v>COUDEKERQUE BRANCHE</v>
      </c>
      <c r="J2702" t="str">
        <f>"03 28 60 37 90 "</f>
        <v xml:space="preserve">03 28 60 37 90 </v>
      </c>
      <c r="L2702" s="1">
        <v>29646</v>
      </c>
      <c r="M2702" t="str">
        <f t="shared" si="399"/>
        <v>124</v>
      </c>
      <c r="N2702" t="str">
        <f t="shared" si="400"/>
        <v>Centre de Santé</v>
      </c>
      <c r="O2702" t="str">
        <f>"17"</f>
        <v>17</v>
      </c>
      <c r="P2702" t="str">
        <f>"Centre Communal d'Action Sociale"</f>
        <v>Centre Communal d'Action Sociale</v>
      </c>
      <c r="Q2702" t="str">
        <f t="shared" si="397"/>
        <v>36</v>
      </c>
      <c r="R2702" t="str">
        <f t="shared" si="398"/>
        <v>Tarifs conventionnels assurance maladie</v>
      </c>
      <c r="U2702" t="str">
        <f>"590800702"</f>
        <v>590800702</v>
      </c>
    </row>
    <row r="2703" spans="1:21" x14ac:dyDescent="0.3">
      <c r="A2703" t="str">
        <f>"370004780"</f>
        <v>370004780</v>
      </c>
      <c r="B2703" t="str">
        <f>"775 347 891 00043"</f>
        <v>775 347 891 00043</v>
      </c>
      <c r="D2703" t="str">
        <f>"CTRE DENTAIRE MUTUALITE FRANCAISE"</f>
        <v>CTRE DENTAIRE MUTUALITE FRANCAISE</v>
      </c>
      <c r="F2703" t="str">
        <f>"21 27 RUE MARCEL MERIEUX"</f>
        <v>21 27 RUE MARCEL MERIEUX</v>
      </c>
      <c r="H2703" t="str">
        <f>"37200"</f>
        <v>37200</v>
      </c>
      <c r="I2703" t="str">
        <f>"TOURS"</f>
        <v>TOURS</v>
      </c>
      <c r="J2703" t="str">
        <f>"02 47 68 24 68 "</f>
        <v xml:space="preserve">02 47 68 24 68 </v>
      </c>
      <c r="K2703" t="str">
        <f>"02 47 91 23 33"</f>
        <v>02 47 91 23 33</v>
      </c>
      <c r="L2703" s="1">
        <v>29634</v>
      </c>
      <c r="M2703" t="str">
        <f t="shared" si="399"/>
        <v>124</v>
      </c>
      <c r="N2703" t="str">
        <f t="shared" si="400"/>
        <v>Centre de Santé</v>
      </c>
      <c r="O2703" t="str">
        <f>"47"</f>
        <v>47</v>
      </c>
      <c r="P2703" t="str">
        <f>"Société Mutualiste"</f>
        <v>Société Mutualiste</v>
      </c>
      <c r="Q2703" t="str">
        <f t="shared" si="397"/>
        <v>36</v>
      </c>
      <c r="R2703" t="str">
        <f t="shared" si="398"/>
        <v>Tarifs conventionnels assurance maladie</v>
      </c>
      <c r="U2703" t="str">
        <f>"370100935"</f>
        <v>370100935</v>
      </c>
    </row>
    <row r="2704" spans="1:21" x14ac:dyDescent="0.3">
      <c r="A2704" t="str">
        <f>"370004798"</f>
        <v>370004798</v>
      </c>
      <c r="B2704" t="str">
        <f>"775 347 891 00035"</f>
        <v>775 347 891 00035</v>
      </c>
      <c r="D2704" t="str">
        <f>"CTRE DENTAIRE MUTUALITE FRANCAISE"</f>
        <v>CTRE DENTAIRE MUTUALITE FRANCAISE</v>
      </c>
      <c r="F2704" t="str">
        <f>"80 RUE DE JEMMAPES"</f>
        <v>80 RUE DE JEMMAPES</v>
      </c>
      <c r="H2704" t="str">
        <f>"37100"</f>
        <v>37100</v>
      </c>
      <c r="I2704" t="str">
        <f>"TOURS"</f>
        <v>TOURS</v>
      </c>
      <c r="J2704" t="str">
        <f>"02 47 31 22 70 "</f>
        <v xml:space="preserve">02 47 31 22 70 </v>
      </c>
      <c r="K2704" t="str">
        <f>"02 47 31 29 71"</f>
        <v>02 47 31 29 71</v>
      </c>
      <c r="L2704" s="1">
        <v>29634</v>
      </c>
      <c r="M2704" t="str">
        <f t="shared" si="399"/>
        <v>124</v>
      </c>
      <c r="N2704" t="str">
        <f t="shared" si="400"/>
        <v>Centre de Santé</v>
      </c>
      <c r="O2704" t="str">
        <f>"47"</f>
        <v>47</v>
      </c>
      <c r="P2704" t="str">
        <f>"Société Mutualiste"</f>
        <v>Société Mutualiste</v>
      </c>
      <c r="Q2704" t="str">
        <f t="shared" si="397"/>
        <v>36</v>
      </c>
      <c r="R2704" t="str">
        <f t="shared" si="398"/>
        <v>Tarifs conventionnels assurance maladie</v>
      </c>
      <c r="U2704" t="str">
        <f>"370100935"</f>
        <v>370100935</v>
      </c>
    </row>
    <row r="2705" spans="1:21" x14ac:dyDescent="0.3">
      <c r="A2705" t="str">
        <f>"810101980"</f>
        <v>810101980</v>
      </c>
      <c r="B2705" t="str">
        <f>"775 711 674 00330"</f>
        <v>775 711 674 00330</v>
      </c>
      <c r="D2705" t="str">
        <f>"CTRE DENT MUT LABASTIDE-ROUAIROUX"</f>
        <v>CTRE DENT MUT LABASTIDE-ROUAIROUX</v>
      </c>
      <c r="E2705" t="str">
        <f>"COUR HENRI DUNANT"</f>
        <v>COUR HENRI DUNANT</v>
      </c>
      <c r="F2705" t="str">
        <f>"PLACE DE LA MAIRIE"</f>
        <v>PLACE DE LA MAIRIE</v>
      </c>
      <c r="H2705" t="str">
        <f>"81270"</f>
        <v>81270</v>
      </c>
      <c r="I2705" t="str">
        <f>"LABASTIDE ROUAIROUX"</f>
        <v>LABASTIDE ROUAIROUX</v>
      </c>
      <c r="J2705" t="str">
        <f>"05 63 98 01 42 "</f>
        <v xml:space="preserve">05 63 98 01 42 </v>
      </c>
      <c r="K2705" t="str">
        <f>"05 63 97 03 91"</f>
        <v>05 63 97 03 91</v>
      </c>
      <c r="L2705" s="1">
        <v>29630</v>
      </c>
      <c r="M2705" t="str">
        <f t="shared" si="399"/>
        <v>124</v>
      </c>
      <c r="N2705" t="str">
        <f t="shared" si="400"/>
        <v>Centre de Santé</v>
      </c>
      <c r="O2705" t="str">
        <f>"47"</f>
        <v>47</v>
      </c>
      <c r="P2705" t="str">
        <f>"Société Mutualiste"</f>
        <v>Société Mutualiste</v>
      </c>
      <c r="Q2705" t="str">
        <f t="shared" si="397"/>
        <v>36</v>
      </c>
      <c r="R2705" t="str">
        <f t="shared" si="398"/>
        <v>Tarifs conventionnels assurance maladie</v>
      </c>
      <c r="U2705" t="str">
        <f>"810099903"</f>
        <v>810099903</v>
      </c>
    </row>
    <row r="2706" spans="1:21" x14ac:dyDescent="0.3">
      <c r="A2706" t="str">
        <f>"810102756"</f>
        <v>810102756</v>
      </c>
      <c r="B2706" t="str">
        <f>"775 711 674 01205"</f>
        <v>775 711 674 01205</v>
      </c>
      <c r="D2706" t="str">
        <f>"CDS DENTAIRE ALBI CASTELVIEL"</f>
        <v>CDS DENTAIRE ALBI CASTELVIEL</v>
      </c>
      <c r="F2706" t="str">
        <f>"46 PLACE DU FOIRAIL DE CASTELVIEL"</f>
        <v>46 PLACE DU FOIRAIL DE CASTELVIEL</v>
      </c>
      <c r="H2706" t="str">
        <f>"81000"</f>
        <v>81000</v>
      </c>
      <c r="I2706" t="str">
        <f>"ALBI"</f>
        <v>ALBI</v>
      </c>
      <c r="J2706" t="str">
        <f>"05 63 48 20 52 "</f>
        <v xml:space="preserve">05 63 48 20 52 </v>
      </c>
      <c r="L2706" s="1">
        <v>29630</v>
      </c>
      <c r="M2706" t="str">
        <f t="shared" si="399"/>
        <v>124</v>
      </c>
      <c r="N2706" t="str">
        <f t="shared" si="400"/>
        <v>Centre de Santé</v>
      </c>
      <c r="O2706" t="str">
        <f>"47"</f>
        <v>47</v>
      </c>
      <c r="P2706" t="str">
        <f>"Société Mutualiste"</f>
        <v>Société Mutualiste</v>
      </c>
      <c r="Q2706" t="str">
        <f t="shared" si="397"/>
        <v>36</v>
      </c>
      <c r="R2706" t="str">
        <f t="shared" si="398"/>
        <v>Tarifs conventionnels assurance maladie</v>
      </c>
      <c r="U2706" t="str">
        <f>"810099903"</f>
        <v>810099903</v>
      </c>
    </row>
    <row r="2707" spans="1:21" x14ac:dyDescent="0.3">
      <c r="A2707" t="str">
        <f>"510010960"</f>
        <v>510010960</v>
      </c>
      <c r="B2707" t="str">
        <f>"321 761 249 00010"</f>
        <v>321 761 249 00010</v>
      </c>
      <c r="D2707" t="str">
        <f>"CENTRE DE SANTE INFIRMIERS"</f>
        <v>CENTRE DE SANTE INFIRMIERS</v>
      </c>
      <c r="E2707" t="str">
        <f>"MONT BERNON"</f>
        <v>MONT BERNON</v>
      </c>
      <c r="F2707" t="str">
        <f>"39 AVENUE MIDDELKERKE"</f>
        <v>39 AVENUE MIDDELKERKE</v>
      </c>
      <c r="H2707" t="str">
        <f>"51200"</f>
        <v>51200</v>
      </c>
      <c r="I2707" t="str">
        <f>"EPERNAY"</f>
        <v>EPERNAY</v>
      </c>
      <c r="J2707" t="str">
        <f>"03 26 55 03 43 "</f>
        <v xml:space="preserve">03 26 55 03 43 </v>
      </c>
      <c r="K2707" t="str">
        <f>"03 26 55 79 66"</f>
        <v>03 26 55 79 66</v>
      </c>
      <c r="L2707" s="1">
        <v>29618</v>
      </c>
      <c r="M2707" t="str">
        <f t="shared" si="399"/>
        <v>124</v>
      </c>
      <c r="N2707" t="str">
        <f t="shared" si="400"/>
        <v>Centre de Santé</v>
      </c>
      <c r="O2707" t="str">
        <f>"60"</f>
        <v>60</v>
      </c>
      <c r="P2707" t="str">
        <f>"Association Loi 1901 non Reconnue d'Utilité Publique"</f>
        <v>Association Loi 1901 non Reconnue d'Utilité Publique</v>
      </c>
      <c r="Q2707" t="str">
        <f t="shared" si="397"/>
        <v>36</v>
      </c>
      <c r="R2707" t="str">
        <f t="shared" si="398"/>
        <v>Tarifs conventionnels assurance maladie</v>
      </c>
      <c r="U2707" t="str">
        <f>"510003445"</f>
        <v>510003445</v>
      </c>
    </row>
    <row r="2708" spans="1:21" x14ac:dyDescent="0.3">
      <c r="A2708" t="str">
        <f>"570015974"</f>
        <v>570015974</v>
      </c>
      <c r="B2708" t="str">
        <f>"390 490 340 00028"</f>
        <v>390 490 340 00028</v>
      </c>
      <c r="D2708" t="str">
        <f>"CENTRE DE SOINS INFIRMIERS"</f>
        <v>CENTRE DE SOINS INFIRMIERS</v>
      </c>
      <c r="F2708" t="str">
        <f>"39 RUE DES JARDINS"</f>
        <v>39 RUE DES JARDINS</v>
      </c>
      <c r="H2708" t="str">
        <f>"57185"</f>
        <v>57185</v>
      </c>
      <c r="I2708" t="str">
        <f>"CLOUANGE"</f>
        <v>CLOUANGE</v>
      </c>
      <c r="J2708" t="str">
        <f>"03 87 67 08 45 "</f>
        <v xml:space="preserve">03 87 67 08 45 </v>
      </c>
      <c r="K2708" t="str">
        <f>"03 87 58 36 39"</f>
        <v>03 87 58 36 39</v>
      </c>
      <c r="L2708" s="1">
        <v>29605</v>
      </c>
      <c r="M2708" t="str">
        <f t="shared" si="399"/>
        <v>124</v>
      </c>
      <c r="N2708" t="str">
        <f t="shared" si="400"/>
        <v>Centre de Santé</v>
      </c>
      <c r="O2708" t="str">
        <f>"62"</f>
        <v>62</v>
      </c>
      <c r="P2708" t="str">
        <f>"Association de Droit Local"</f>
        <v>Association de Droit Local</v>
      </c>
      <c r="Q2708" t="str">
        <f t="shared" si="397"/>
        <v>36</v>
      </c>
      <c r="R2708" t="str">
        <f t="shared" si="398"/>
        <v>Tarifs conventionnels assurance maladie</v>
      </c>
      <c r="U2708" t="str">
        <f>"570015966"</f>
        <v>570015966</v>
      </c>
    </row>
    <row r="2709" spans="1:21" x14ac:dyDescent="0.3">
      <c r="A2709" t="str">
        <f>"680002714"</f>
        <v>680002714</v>
      </c>
      <c r="B2709" t="str">
        <f>"302 134 176 00056"</f>
        <v>302 134 176 00056</v>
      </c>
      <c r="D2709" t="str">
        <f>"CENTRE DE SOINS INF DE WITTELSHEIM"</f>
        <v>CENTRE DE SOINS INF DE WITTELSHEIM</v>
      </c>
      <c r="F2709" t="str">
        <f>"6 RUE DES CHAMPS"</f>
        <v>6 RUE DES CHAMPS</v>
      </c>
      <c r="H2709" t="str">
        <f>"68310"</f>
        <v>68310</v>
      </c>
      <c r="I2709" t="str">
        <f>"WITTELSHEIM"</f>
        <v>WITTELSHEIM</v>
      </c>
      <c r="J2709" t="str">
        <f>"03 89 55 20 45 "</f>
        <v xml:space="preserve">03 89 55 20 45 </v>
      </c>
      <c r="K2709" t="str">
        <f>"03 89 55 19 09"</f>
        <v>03 89 55 19 09</v>
      </c>
      <c r="L2709" s="1">
        <v>29587</v>
      </c>
      <c r="M2709" t="str">
        <f t="shared" si="399"/>
        <v>124</v>
      </c>
      <c r="N2709" t="str">
        <f t="shared" si="400"/>
        <v>Centre de Santé</v>
      </c>
      <c r="O2709" t="str">
        <f>"61"</f>
        <v>61</v>
      </c>
      <c r="P2709" t="str">
        <f>"Association Loi 1901 Reconnue d'Utilité Publique"</f>
        <v>Association Loi 1901 Reconnue d'Utilité Publique</v>
      </c>
      <c r="Q2709" t="str">
        <f t="shared" si="397"/>
        <v>36</v>
      </c>
      <c r="R2709" t="str">
        <f t="shared" si="398"/>
        <v>Tarifs conventionnels assurance maladie</v>
      </c>
      <c r="U2709" t="str">
        <f>"680001492"</f>
        <v>680001492</v>
      </c>
    </row>
    <row r="2710" spans="1:21" x14ac:dyDescent="0.3">
      <c r="A2710" t="str">
        <f>"700782261"</f>
        <v>700782261</v>
      </c>
      <c r="B2710" t="str">
        <f>"778 542 969 00127"</f>
        <v>778 542 969 00127</v>
      </c>
      <c r="D2710" t="str">
        <f>"CTRE SANTE DENTAIRE MUTUALISTE VESOUL"</f>
        <v>CTRE SANTE DENTAIRE MUTUALISTE VESOUL</v>
      </c>
      <c r="F2710" t="str">
        <f>"10 BOULEVARD DES ALLIES"</f>
        <v>10 BOULEVARD DES ALLIES</v>
      </c>
      <c r="H2710" t="str">
        <f>"70000"</f>
        <v>70000</v>
      </c>
      <c r="I2710" t="str">
        <f>"VESOUL"</f>
        <v>VESOUL</v>
      </c>
      <c r="J2710" t="str">
        <f>"03 84 76 05 22 "</f>
        <v xml:space="preserve">03 84 76 05 22 </v>
      </c>
      <c r="K2710" t="str">
        <f>"03 84 76 86 15"</f>
        <v>03 84 76 86 15</v>
      </c>
      <c r="L2710" s="1">
        <v>29563</v>
      </c>
      <c r="M2710" t="str">
        <f t="shared" si="399"/>
        <v>124</v>
      </c>
      <c r="N2710" t="str">
        <f t="shared" si="400"/>
        <v>Centre de Santé</v>
      </c>
      <c r="O2710" t="str">
        <f>"47"</f>
        <v>47</v>
      </c>
      <c r="P2710" t="str">
        <f>"Société Mutualiste"</f>
        <v>Société Mutualiste</v>
      </c>
      <c r="Q2710" t="str">
        <f t="shared" si="397"/>
        <v>36</v>
      </c>
      <c r="R2710" t="str">
        <f t="shared" si="398"/>
        <v>Tarifs conventionnels assurance maladie</v>
      </c>
      <c r="U2710" t="str">
        <f>"700783954"</f>
        <v>700783954</v>
      </c>
    </row>
    <row r="2711" spans="1:21" x14ac:dyDescent="0.3">
      <c r="A2711" t="str">
        <f>"420781270"</f>
        <v>420781270</v>
      </c>
      <c r="B2711" t="str">
        <f>"775 672 272 14786"</f>
        <v>775 672 272 14786</v>
      </c>
      <c r="D2711" t="str">
        <f>"CENTRE DE SANTE CRF SAINT-ETIENNE"</f>
        <v>CENTRE DE SANTE CRF SAINT-ETIENNE</v>
      </c>
      <c r="F2711" t="str">
        <f>"24 RUE MICHEL RONDET"</f>
        <v>24 RUE MICHEL RONDET</v>
      </c>
      <c r="H2711" t="str">
        <f>"42000"</f>
        <v>42000</v>
      </c>
      <c r="I2711" t="str">
        <f>"ST ETIENNE"</f>
        <v>ST ETIENNE</v>
      </c>
      <c r="J2711" t="str">
        <f>"04 77 43 54 90 "</f>
        <v xml:space="preserve">04 77 43 54 90 </v>
      </c>
      <c r="K2711" t="str">
        <f>"04 77 43 54 91"</f>
        <v>04 77 43 54 91</v>
      </c>
      <c r="L2711" s="1">
        <v>29556</v>
      </c>
      <c r="M2711" t="str">
        <f t="shared" si="399"/>
        <v>124</v>
      </c>
      <c r="N2711" t="str">
        <f t="shared" si="400"/>
        <v>Centre de Santé</v>
      </c>
      <c r="O2711" t="str">
        <f>"61"</f>
        <v>61</v>
      </c>
      <c r="P2711" t="str">
        <f>"Association Loi 1901 Reconnue d'Utilité Publique"</f>
        <v>Association Loi 1901 Reconnue d'Utilité Publique</v>
      </c>
      <c r="Q2711" t="str">
        <f t="shared" si="397"/>
        <v>36</v>
      </c>
      <c r="R2711" t="str">
        <f t="shared" si="398"/>
        <v>Tarifs conventionnels assurance maladie</v>
      </c>
      <c r="U2711" t="str">
        <f>"750721334"</f>
        <v>750721334</v>
      </c>
    </row>
    <row r="2712" spans="1:21" x14ac:dyDescent="0.3">
      <c r="A2712" t="str">
        <f>"140016775"</f>
        <v>140016775</v>
      </c>
      <c r="B2712" t="str">
        <f>"794 994 277 00059"</f>
        <v>794 994 277 00059</v>
      </c>
      <c r="D2712" t="str">
        <f>"CENTRE DE SANTE DENTAIRE - HEROUVILLE"</f>
        <v>CENTRE DE SANTE DENTAIRE - HEROUVILLE</v>
      </c>
      <c r="F2712" t="str">
        <f>"58 AVENUE DE LA GRANDE CAVEE"</f>
        <v>58 AVENUE DE LA GRANDE CAVEE</v>
      </c>
      <c r="H2712" t="str">
        <f>"14200"</f>
        <v>14200</v>
      </c>
      <c r="I2712" t="str">
        <f>"HEROUVILLE ST CLAIR"</f>
        <v>HEROUVILLE ST CLAIR</v>
      </c>
      <c r="J2712" t="str">
        <f>"02 31 95 47 40 "</f>
        <v xml:space="preserve">02 31 95 47 40 </v>
      </c>
      <c r="L2712" s="1">
        <v>29540</v>
      </c>
      <c r="M2712" t="str">
        <f t="shared" si="399"/>
        <v>124</v>
      </c>
      <c r="N2712" t="str">
        <f t="shared" si="400"/>
        <v>Centre de Santé</v>
      </c>
      <c r="O2712" t="str">
        <f>"47"</f>
        <v>47</v>
      </c>
      <c r="P2712" t="str">
        <f>"Société Mutualiste"</f>
        <v>Société Mutualiste</v>
      </c>
      <c r="Q2712" t="str">
        <f t="shared" si="397"/>
        <v>36</v>
      </c>
      <c r="R2712" t="str">
        <f t="shared" si="398"/>
        <v>Tarifs conventionnels assurance maladie</v>
      </c>
      <c r="U2712" t="str">
        <f>"760000539"</f>
        <v>760000539</v>
      </c>
    </row>
    <row r="2713" spans="1:21" x14ac:dyDescent="0.3">
      <c r="A2713" t="str">
        <f>"470016551"</f>
        <v>470016551</v>
      </c>
      <c r="B2713" t="str">
        <f>"782 152 979 00376"</f>
        <v>782 152 979 00376</v>
      </c>
      <c r="D2713" t="str">
        <f>"CENTRE DE SANTE INFIRMIERS"</f>
        <v>CENTRE DE SANTE INFIRMIERS</v>
      </c>
      <c r="F2713" t="str">
        <f>"13 RUE DU QUINAUT"</f>
        <v>13 RUE DU QUINAUT</v>
      </c>
      <c r="H2713" t="str">
        <f>"47000"</f>
        <v>47000</v>
      </c>
      <c r="I2713" t="str">
        <f>"AGEN"</f>
        <v>AGEN</v>
      </c>
      <c r="J2713" t="str">
        <f>"05 53 48 13 42 "</f>
        <v xml:space="preserve">05 53 48 13 42 </v>
      </c>
      <c r="K2713" t="str">
        <f>"05 53 48 13 43"</f>
        <v>05 53 48 13 43</v>
      </c>
      <c r="L2713" s="1">
        <v>29502</v>
      </c>
      <c r="M2713" t="str">
        <f t="shared" si="399"/>
        <v>124</v>
      </c>
      <c r="N2713" t="str">
        <f t="shared" si="400"/>
        <v>Centre de Santé</v>
      </c>
      <c r="O2713" t="str">
        <f>"47"</f>
        <v>47</v>
      </c>
      <c r="P2713" t="str">
        <f>"Société Mutualiste"</f>
        <v>Société Mutualiste</v>
      </c>
      <c r="Q2713" t="str">
        <f t="shared" si="397"/>
        <v>36</v>
      </c>
      <c r="R2713" t="str">
        <f t="shared" si="398"/>
        <v>Tarifs conventionnels assurance maladie</v>
      </c>
      <c r="U2713" t="str">
        <f>"470009598"</f>
        <v>470009598</v>
      </c>
    </row>
    <row r="2714" spans="1:21" x14ac:dyDescent="0.3">
      <c r="A2714" t="str">
        <f>"930010913"</f>
        <v>930010913</v>
      </c>
      <c r="B2714" t="str">
        <f>"219 300 712 00433"</f>
        <v>219 300 712 00433</v>
      </c>
      <c r="D2714" t="str">
        <f>"CDS MUNICIPAL LOUIS FERNET"</f>
        <v>CDS MUNICIPAL LOUIS FERNET</v>
      </c>
      <c r="F2714" t="str">
        <f>"4 RUE ROGER LE MANER"</f>
        <v>4 RUE ROGER LE MANER</v>
      </c>
      <c r="H2714" t="str">
        <f>"93270"</f>
        <v>93270</v>
      </c>
      <c r="I2714" t="str">
        <f>"SEVRAN"</f>
        <v>SEVRAN</v>
      </c>
      <c r="J2714" t="str">
        <f>"01 43 83 76 54 "</f>
        <v xml:space="preserve">01 43 83 76 54 </v>
      </c>
      <c r="K2714" t="str">
        <f>"01 43 83 97 77"</f>
        <v>01 43 83 97 77</v>
      </c>
      <c r="L2714" s="1">
        <v>29500</v>
      </c>
      <c r="M2714" t="str">
        <f t="shared" si="399"/>
        <v>124</v>
      </c>
      <c r="N2714" t="str">
        <f t="shared" si="400"/>
        <v>Centre de Santé</v>
      </c>
      <c r="O2714" t="str">
        <f>"03"</f>
        <v>03</v>
      </c>
      <c r="P2714" t="str">
        <f>"Commune"</f>
        <v>Commune</v>
      </c>
      <c r="Q2714" t="str">
        <f t="shared" si="397"/>
        <v>36</v>
      </c>
      <c r="R2714" t="str">
        <f t="shared" si="398"/>
        <v>Tarifs conventionnels assurance maladie</v>
      </c>
      <c r="U2714" t="str">
        <f>"930813175"</f>
        <v>930813175</v>
      </c>
    </row>
    <row r="2715" spans="1:21" x14ac:dyDescent="0.3">
      <c r="A2715" t="str">
        <f>"220018337"</f>
        <v>220018337</v>
      </c>
      <c r="D2715" t="str">
        <f>"CDS INFIRMIERS DINAN"</f>
        <v>CDS INFIRMIERS DINAN</v>
      </c>
      <c r="F2715" t="str">
        <f>"RUE DE LA VILLE GOUDELIN"</f>
        <v>RUE DE LA VILLE GOUDELIN</v>
      </c>
      <c r="H2715" t="str">
        <f>"22100"</f>
        <v>22100</v>
      </c>
      <c r="I2715" t="str">
        <f>"DINAN"</f>
        <v>DINAN</v>
      </c>
      <c r="J2715" t="str">
        <f>"02 96 87 64 64 "</f>
        <v xml:space="preserve">02 96 87 64 64 </v>
      </c>
      <c r="K2715" t="str">
        <f>"02 96 87 64 00"</f>
        <v>02 96 87 64 00</v>
      </c>
      <c r="L2715" s="1">
        <v>29445</v>
      </c>
      <c r="M2715" t="str">
        <f t="shared" si="399"/>
        <v>124</v>
      </c>
      <c r="N2715" t="str">
        <f t="shared" si="400"/>
        <v>Centre de Santé</v>
      </c>
      <c r="O2715" t="str">
        <f>"60"</f>
        <v>60</v>
      </c>
      <c r="P2715" t="str">
        <f>"Association Loi 1901 non Reconnue d'Utilité Publique"</f>
        <v>Association Loi 1901 non Reconnue d'Utilité Publique</v>
      </c>
      <c r="Q2715" t="str">
        <f t="shared" si="397"/>
        <v>36</v>
      </c>
      <c r="R2715" t="str">
        <f t="shared" si="398"/>
        <v>Tarifs conventionnels assurance maladie</v>
      </c>
      <c r="U2715" t="str">
        <f>"220000855"</f>
        <v>220000855</v>
      </c>
    </row>
    <row r="2716" spans="1:21" x14ac:dyDescent="0.3">
      <c r="A2716" t="str">
        <f>"590780847"</f>
        <v>590780847</v>
      </c>
      <c r="B2716" t="str">
        <f>"783 702 707 00010"</f>
        <v>783 702 707 00010</v>
      </c>
      <c r="D2716" t="str">
        <f>"CENTRE DE SANTE POLYVALENT LILLE FIVES"</f>
        <v>CENTRE DE SANTE POLYVALENT LILLE FIVES</v>
      </c>
      <c r="F2716" t="str">
        <f>"5 RUE DECARNIN"</f>
        <v>5 RUE DECARNIN</v>
      </c>
      <c r="H2716" t="str">
        <f>"59800"</f>
        <v>59800</v>
      </c>
      <c r="I2716" t="str">
        <f>"LILLE"</f>
        <v>LILLE</v>
      </c>
      <c r="J2716" t="str">
        <f>"03 20 56 75 44 "</f>
        <v xml:space="preserve">03 20 56 75 44 </v>
      </c>
      <c r="L2716" s="1">
        <v>29424</v>
      </c>
      <c r="M2716" t="str">
        <f t="shared" si="399"/>
        <v>124</v>
      </c>
      <c r="N2716" t="str">
        <f t="shared" si="400"/>
        <v>Centre de Santé</v>
      </c>
      <c r="O2716" t="str">
        <f>"60"</f>
        <v>60</v>
      </c>
      <c r="P2716" t="str">
        <f>"Association Loi 1901 non Reconnue d'Utilité Publique"</f>
        <v>Association Loi 1901 non Reconnue d'Utilité Publique</v>
      </c>
      <c r="Q2716" t="str">
        <f t="shared" si="397"/>
        <v>36</v>
      </c>
      <c r="R2716" t="str">
        <f t="shared" si="398"/>
        <v>Tarifs conventionnels assurance maladie</v>
      </c>
      <c r="U2716" t="str">
        <f>"590000253"</f>
        <v>590000253</v>
      </c>
    </row>
    <row r="2717" spans="1:21" x14ac:dyDescent="0.3">
      <c r="A2717" t="str">
        <f>"350006862"</f>
        <v>350006862</v>
      </c>
      <c r="B2717" t="str">
        <f>"519 033 989 00137"</f>
        <v>519 033 989 00137</v>
      </c>
      <c r="D2717" t="str">
        <f>"CDS DENTAIRE MUTUALISTE FREVILLE"</f>
        <v>CDS DENTAIRE MUTUALISTE FREVILLE</v>
      </c>
      <c r="F2717" t="str">
        <f>"26 AVENUE FREVILLE"</f>
        <v>26 AVENUE FREVILLE</v>
      </c>
      <c r="H2717" t="str">
        <f>"35200"</f>
        <v>35200</v>
      </c>
      <c r="I2717" t="str">
        <f>"RENNES"</f>
        <v>RENNES</v>
      </c>
      <c r="J2717" t="str">
        <f>"02 99 53 46 06 "</f>
        <v xml:space="preserve">02 99 53 46 06 </v>
      </c>
      <c r="K2717" t="str">
        <f>"02 99 51 18 75"</f>
        <v>02 99 51 18 75</v>
      </c>
      <c r="L2717" s="1">
        <v>29417</v>
      </c>
      <c r="M2717" t="str">
        <f t="shared" si="399"/>
        <v>124</v>
      </c>
      <c r="N2717" t="str">
        <f t="shared" si="400"/>
        <v>Centre de Santé</v>
      </c>
      <c r="O2717" t="str">
        <f>"47"</f>
        <v>47</v>
      </c>
      <c r="P2717" t="str">
        <f>"Société Mutualiste"</f>
        <v>Société Mutualiste</v>
      </c>
      <c r="Q2717" t="str">
        <f t="shared" si="397"/>
        <v>36</v>
      </c>
      <c r="R2717" t="str">
        <f t="shared" si="398"/>
        <v>Tarifs conventionnels assurance maladie</v>
      </c>
      <c r="U2717" t="str">
        <f>"560030710"</f>
        <v>560030710</v>
      </c>
    </row>
    <row r="2718" spans="1:21" x14ac:dyDescent="0.3">
      <c r="A2718" t="str">
        <f>"290004035"</f>
        <v>290004035</v>
      </c>
      <c r="B2718" t="str">
        <f>"347 381 121 00024"</f>
        <v>347 381 121 00024</v>
      </c>
      <c r="D2718" t="str">
        <f>"CDS INF. ASSO SANTE BIGOUDENE"</f>
        <v>CDS INF. ASSO SANTE BIGOUDENE</v>
      </c>
      <c r="F2718" t="str">
        <f>"53 RUE DE LA MARINE"</f>
        <v>53 RUE DE LA MARINE</v>
      </c>
      <c r="H2718" t="str">
        <f>"29760"</f>
        <v>29760</v>
      </c>
      <c r="I2718" t="str">
        <f>"PENMARCH"</f>
        <v>PENMARCH</v>
      </c>
      <c r="J2718" t="str">
        <f>"02 98 58 60 18 "</f>
        <v xml:space="preserve">02 98 58 60 18 </v>
      </c>
      <c r="K2718" t="str">
        <f>"02 98 58 71 17"</f>
        <v>02 98 58 71 17</v>
      </c>
      <c r="L2718" s="1">
        <v>29403</v>
      </c>
      <c r="M2718" t="str">
        <f t="shared" si="399"/>
        <v>124</v>
      </c>
      <c r="N2718" t="str">
        <f t="shared" si="400"/>
        <v>Centre de Santé</v>
      </c>
      <c r="O2718" t="str">
        <f>"61"</f>
        <v>61</v>
      </c>
      <c r="P2718" t="str">
        <f>"Association Loi 1901 Reconnue d'Utilité Publique"</f>
        <v>Association Loi 1901 Reconnue d'Utilité Publique</v>
      </c>
      <c r="Q2718" t="str">
        <f t="shared" si="397"/>
        <v>36</v>
      </c>
      <c r="R2718" t="str">
        <f t="shared" si="398"/>
        <v>Tarifs conventionnels assurance maladie</v>
      </c>
      <c r="U2718" t="str">
        <f>"290032846"</f>
        <v>290032846</v>
      </c>
    </row>
    <row r="2719" spans="1:21" x14ac:dyDescent="0.3">
      <c r="A2719" t="str">
        <f>"290004050"</f>
        <v>290004050</v>
      </c>
      <c r="B2719" t="str">
        <f>"327 706 263 00024"</f>
        <v>327 706 263 00024</v>
      </c>
      <c r="D2719" t="str">
        <f>"CDS INFIRMIER ADMR DE BENODET"</f>
        <v>CDS INFIRMIER ADMR DE BENODET</v>
      </c>
      <c r="F2719" t="str">
        <f>"1 AVENUE DE FOUESNANT"</f>
        <v>1 AVENUE DE FOUESNANT</v>
      </c>
      <c r="H2719" t="str">
        <f>"29950"</f>
        <v>29950</v>
      </c>
      <c r="I2719" t="str">
        <f>"BENODET"</f>
        <v>BENODET</v>
      </c>
      <c r="J2719" t="str">
        <f>"02 98 57 23 42 "</f>
        <v xml:space="preserve">02 98 57 23 42 </v>
      </c>
      <c r="K2719" t="str">
        <f>"02 98 57 23 42"</f>
        <v>02 98 57 23 42</v>
      </c>
      <c r="L2719" s="1">
        <v>29403</v>
      </c>
      <c r="M2719" t="str">
        <f t="shared" si="399"/>
        <v>124</v>
      </c>
      <c r="N2719" t="str">
        <f t="shared" si="400"/>
        <v>Centre de Santé</v>
      </c>
      <c r="O2719" t="str">
        <f>"60"</f>
        <v>60</v>
      </c>
      <c r="P2719" t="str">
        <f>"Association Loi 1901 non Reconnue d'Utilité Publique"</f>
        <v>Association Loi 1901 non Reconnue d'Utilité Publique</v>
      </c>
      <c r="Q2719" t="str">
        <f t="shared" si="397"/>
        <v>36</v>
      </c>
      <c r="R2719" t="str">
        <f t="shared" si="398"/>
        <v>Tarifs conventionnels assurance maladie</v>
      </c>
      <c r="U2719" t="str">
        <f>"290026277"</f>
        <v>290026277</v>
      </c>
    </row>
    <row r="2720" spans="1:21" x14ac:dyDescent="0.3">
      <c r="A2720" t="str">
        <f>"290004399"</f>
        <v>290004399</v>
      </c>
      <c r="B2720" t="str">
        <f>"327 706 180 00046"</f>
        <v>327 706 180 00046</v>
      </c>
      <c r="D2720" t="str">
        <f>"CDS INF. QUERRIEN"</f>
        <v>CDS INF. QUERRIEN</v>
      </c>
      <c r="F2720" t="str">
        <f>"RUE HENT DONT"</f>
        <v>RUE HENT DONT</v>
      </c>
      <c r="H2720" t="str">
        <f>"29310"</f>
        <v>29310</v>
      </c>
      <c r="I2720" t="str">
        <f>"QUERRIEN"</f>
        <v>QUERRIEN</v>
      </c>
      <c r="J2720" t="str">
        <f>"02 98 71 32 57 "</f>
        <v xml:space="preserve">02 98 71 32 57 </v>
      </c>
      <c r="K2720" t="str">
        <f>"02 98 71 37 85"</f>
        <v>02 98 71 37 85</v>
      </c>
      <c r="L2720" s="1">
        <v>29403</v>
      </c>
      <c r="M2720" t="str">
        <f t="shared" si="399"/>
        <v>124</v>
      </c>
      <c r="N2720" t="str">
        <f t="shared" si="400"/>
        <v>Centre de Santé</v>
      </c>
      <c r="O2720" t="str">
        <f>"60"</f>
        <v>60</v>
      </c>
      <c r="P2720" t="str">
        <f>"Association Loi 1901 non Reconnue d'Utilité Publique"</f>
        <v>Association Loi 1901 non Reconnue d'Utilité Publique</v>
      </c>
      <c r="Q2720" t="str">
        <f t="shared" si="397"/>
        <v>36</v>
      </c>
      <c r="R2720" t="str">
        <f t="shared" si="398"/>
        <v>Tarifs conventionnels assurance maladie</v>
      </c>
      <c r="U2720" t="str">
        <f>"290026160"</f>
        <v>290026160</v>
      </c>
    </row>
    <row r="2721" spans="1:21" x14ac:dyDescent="0.3">
      <c r="A2721" t="str">
        <f>"290004431"</f>
        <v>290004431</v>
      </c>
      <c r="B2721" t="str">
        <f>"395 171 226 00123"</f>
        <v>395 171 226 00123</v>
      </c>
      <c r="D2721" t="str">
        <f>"CDS INFIRMIERS ELLIANT ANN. ROSPORDEN"</f>
        <v>CDS INFIRMIERS ELLIANT ANN. ROSPORDEN</v>
      </c>
      <c r="F2721" t="str">
        <f>"4 PLACE VICTOIRE"</f>
        <v>4 PLACE VICTOIRE</v>
      </c>
      <c r="H2721" t="str">
        <f>"29370"</f>
        <v>29370</v>
      </c>
      <c r="I2721" t="str">
        <f>"ELLIANT"</f>
        <v>ELLIANT</v>
      </c>
      <c r="J2721" t="str">
        <f>"02 97 86 34 12 "</f>
        <v xml:space="preserve">02 97 86 34 12 </v>
      </c>
      <c r="L2721" s="1">
        <v>29403</v>
      </c>
      <c r="M2721" t="str">
        <f t="shared" si="399"/>
        <v>124</v>
      </c>
      <c r="N2721" t="str">
        <f t="shared" si="400"/>
        <v>Centre de Santé</v>
      </c>
      <c r="O2721" t="str">
        <f>"47"</f>
        <v>47</v>
      </c>
      <c r="P2721" t="str">
        <f>"Société Mutualiste"</f>
        <v>Société Mutualiste</v>
      </c>
      <c r="Q2721" t="str">
        <f t="shared" si="397"/>
        <v>36</v>
      </c>
      <c r="R2721" t="str">
        <f t="shared" si="398"/>
        <v>Tarifs conventionnels assurance maladie</v>
      </c>
      <c r="U2721" t="str">
        <f>"560025025"</f>
        <v>560025025</v>
      </c>
    </row>
    <row r="2722" spans="1:21" x14ac:dyDescent="0.3">
      <c r="A2722" t="str">
        <f>"290004449"</f>
        <v>290004449</v>
      </c>
      <c r="B2722" t="str">
        <f>"395 171 226 00073"</f>
        <v>395 171 226 00073</v>
      </c>
      <c r="D2722" t="str">
        <f>"CDS INFIRMIERS (ANNEXE ROSPORDEN)"</f>
        <v>CDS INFIRMIERS (ANNEXE ROSPORDEN)</v>
      </c>
      <c r="F2722" t="str">
        <f>"42 RUE JEAN JAURES"</f>
        <v>42 RUE JEAN JAURES</v>
      </c>
      <c r="H2722" t="str">
        <f>"29390"</f>
        <v>29390</v>
      </c>
      <c r="I2722" t="str">
        <f>"SCAER"</f>
        <v>SCAER</v>
      </c>
      <c r="J2722" t="str">
        <f>"02 98 59 08 41 "</f>
        <v xml:space="preserve">02 98 59 08 41 </v>
      </c>
      <c r="L2722" s="1">
        <v>29403</v>
      </c>
      <c r="M2722" t="str">
        <f t="shared" si="399"/>
        <v>124</v>
      </c>
      <c r="N2722" t="str">
        <f t="shared" si="400"/>
        <v>Centre de Santé</v>
      </c>
      <c r="O2722" t="str">
        <f>"47"</f>
        <v>47</v>
      </c>
      <c r="P2722" t="str">
        <f>"Société Mutualiste"</f>
        <v>Société Mutualiste</v>
      </c>
      <c r="Q2722" t="str">
        <f t="shared" si="397"/>
        <v>36</v>
      </c>
      <c r="R2722" t="str">
        <f t="shared" si="398"/>
        <v>Tarifs conventionnels assurance maladie</v>
      </c>
      <c r="U2722" t="str">
        <f>"560025025"</f>
        <v>560025025</v>
      </c>
    </row>
    <row r="2723" spans="1:21" x14ac:dyDescent="0.3">
      <c r="A2723" t="str">
        <f>"290004456"</f>
        <v>290004456</v>
      </c>
      <c r="B2723" t="str">
        <f>"395 171 226 00065"</f>
        <v>395 171 226 00065</v>
      </c>
      <c r="D2723" t="str">
        <f>"CDS INFIRMIERS BANNALEC ANN. ROSPORDEN"</f>
        <v>CDS INFIRMIERS BANNALEC ANN. ROSPORDEN</v>
      </c>
      <c r="F2723" t="str">
        <f>"21 RUE EUGÈNE CADIC"</f>
        <v>21 RUE EUGÈNE CADIC</v>
      </c>
      <c r="H2723" t="str">
        <f>"29380"</f>
        <v>29380</v>
      </c>
      <c r="I2723" t="str">
        <f>"BANNALEC"</f>
        <v>BANNALEC</v>
      </c>
      <c r="J2723" t="str">
        <f>"02 98 39 40 55 "</f>
        <v xml:space="preserve">02 98 39 40 55 </v>
      </c>
      <c r="L2723" s="1">
        <v>29403</v>
      </c>
      <c r="M2723" t="str">
        <f t="shared" si="399"/>
        <v>124</v>
      </c>
      <c r="N2723" t="str">
        <f t="shared" si="400"/>
        <v>Centre de Santé</v>
      </c>
      <c r="O2723" t="str">
        <f>"47"</f>
        <v>47</v>
      </c>
      <c r="P2723" t="str">
        <f>"Société Mutualiste"</f>
        <v>Société Mutualiste</v>
      </c>
      <c r="Q2723" t="str">
        <f t="shared" si="397"/>
        <v>36</v>
      </c>
      <c r="R2723" t="str">
        <f t="shared" si="398"/>
        <v>Tarifs conventionnels assurance maladie</v>
      </c>
      <c r="U2723" t="str">
        <f>"560025025"</f>
        <v>560025025</v>
      </c>
    </row>
    <row r="2724" spans="1:21" x14ac:dyDescent="0.3">
      <c r="A2724" t="str">
        <f>"290009562"</f>
        <v>290009562</v>
      </c>
      <c r="B2724" t="str">
        <f>"327 706 180 00061"</f>
        <v>327 706 180 00061</v>
      </c>
      <c r="D2724" t="str">
        <f>"CDS INFIRMIER ARZANO"</f>
        <v>CDS INFIRMIER ARZANO</v>
      </c>
      <c r="F2724" t="str">
        <f>"3 RUE KERALVE"</f>
        <v>3 RUE KERALVE</v>
      </c>
      <c r="H2724" t="str">
        <f>"29300"</f>
        <v>29300</v>
      </c>
      <c r="I2724" t="str">
        <f>"ARZANO"</f>
        <v>ARZANO</v>
      </c>
      <c r="J2724" t="str">
        <f>"02 98 71 73 34 "</f>
        <v xml:space="preserve">02 98 71 73 34 </v>
      </c>
      <c r="K2724" t="str">
        <f>"02 98 71 79 57"</f>
        <v>02 98 71 79 57</v>
      </c>
      <c r="L2724" s="1">
        <v>29403</v>
      </c>
      <c r="M2724" t="str">
        <f t="shared" si="399"/>
        <v>124</v>
      </c>
      <c r="N2724" t="str">
        <f t="shared" si="400"/>
        <v>Centre de Santé</v>
      </c>
      <c r="O2724" t="str">
        <f>"60"</f>
        <v>60</v>
      </c>
      <c r="P2724" t="str">
        <f>"Association Loi 1901 non Reconnue d'Utilité Publique"</f>
        <v>Association Loi 1901 non Reconnue d'Utilité Publique</v>
      </c>
      <c r="Q2724" t="str">
        <f t="shared" si="397"/>
        <v>36</v>
      </c>
      <c r="R2724" t="str">
        <f t="shared" si="398"/>
        <v>Tarifs conventionnels assurance maladie</v>
      </c>
      <c r="U2724" t="str">
        <f>"290026160"</f>
        <v>290026160</v>
      </c>
    </row>
    <row r="2725" spans="1:21" x14ac:dyDescent="0.3">
      <c r="A2725" t="str">
        <f>"250006426"</f>
        <v>250006426</v>
      </c>
      <c r="B2725" t="str">
        <f>"821 186 855 00028"</f>
        <v>821 186 855 00028</v>
      </c>
      <c r="D2725" t="str">
        <f>"CENTRE SOINS INFIRMIERS MANDEURE"</f>
        <v>CENTRE SOINS INFIRMIERS MANDEURE</v>
      </c>
      <c r="F2725" t="str">
        <f>"22 RUE DE L'EGLISE"</f>
        <v>22 RUE DE L'EGLISE</v>
      </c>
      <c r="H2725" t="str">
        <f>"25350"</f>
        <v>25350</v>
      </c>
      <c r="I2725" t="str">
        <f>"MANDEURE"</f>
        <v>MANDEURE</v>
      </c>
      <c r="J2725" t="str">
        <f>"03 81 37 94 18 "</f>
        <v xml:space="preserve">03 81 37 94 18 </v>
      </c>
      <c r="L2725" s="1">
        <v>29342</v>
      </c>
      <c r="M2725" t="str">
        <f t="shared" si="399"/>
        <v>124</v>
      </c>
      <c r="N2725" t="str">
        <f t="shared" si="400"/>
        <v>Centre de Santé</v>
      </c>
      <c r="O2725" t="str">
        <f>"60"</f>
        <v>60</v>
      </c>
      <c r="P2725" t="str">
        <f>"Association Loi 1901 non Reconnue d'Utilité Publique"</f>
        <v>Association Loi 1901 non Reconnue d'Utilité Publique</v>
      </c>
      <c r="Q2725" t="str">
        <f t="shared" si="397"/>
        <v>36</v>
      </c>
      <c r="R2725" t="str">
        <f t="shared" si="398"/>
        <v>Tarifs conventionnels assurance maladie</v>
      </c>
      <c r="U2725" t="str">
        <f>"250021334"</f>
        <v>250021334</v>
      </c>
    </row>
    <row r="2726" spans="1:21" x14ac:dyDescent="0.3">
      <c r="A2726" t="str">
        <f>"390783256"</f>
        <v>390783256</v>
      </c>
      <c r="B2726" t="str">
        <f>"323 035 485 00016"</f>
        <v>323 035 485 00016</v>
      </c>
      <c r="D2726" t="str">
        <f>"CTRE SOINS INF A DOMICILE CHAMPAGNOLE"</f>
        <v>CTRE SOINS INF A DOMICILE CHAMPAGNOLE</v>
      </c>
      <c r="E2726" t="str">
        <f>"LES PLEIADES BAT 2"</f>
        <v>LES PLEIADES BAT 2</v>
      </c>
      <c r="F2726" t="str">
        <f>"54 CHEMIN CERTAUD"</f>
        <v>54 CHEMIN CERTAUD</v>
      </c>
      <c r="H2726" t="str">
        <f>"39300"</f>
        <v>39300</v>
      </c>
      <c r="I2726" t="str">
        <f>"CHAMPAGNOLE"</f>
        <v>CHAMPAGNOLE</v>
      </c>
      <c r="J2726" t="str">
        <f>"03 84 52 39 59 "</f>
        <v xml:space="preserve">03 84 52 39 59 </v>
      </c>
      <c r="K2726" t="str">
        <f>"03 84 52 06 65"</f>
        <v>03 84 52 06 65</v>
      </c>
      <c r="L2726" s="1">
        <v>29342</v>
      </c>
      <c r="M2726" t="str">
        <f t="shared" si="399"/>
        <v>124</v>
      </c>
      <c r="N2726" t="str">
        <f t="shared" si="400"/>
        <v>Centre de Santé</v>
      </c>
      <c r="O2726" t="str">
        <f>"60"</f>
        <v>60</v>
      </c>
      <c r="P2726" t="str">
        <f>"Association Loi 1901 non Reconnue d'Utilité Publique"</f>
        <v>Association Loi 1901 non Reconnue d'Utilité Publique</v>
      </c>
      <c r="Q2726" t="str">
        <f t="shared" si="397"/>
        <v>36</v>
      </c>
      <c r="R2726" t="str">
        <f t="shared" si="398"/>
        <v>Tarifs conventionnels assurance maladie</v>
      </c>
      <c r="U2726" t="str">
        <f>"390001915"</f>
        <v>390001915</v>
      </c>
    </row>
    <row r="2727" spans="1:21" x14ac:dyDescent="0.3">
      <c r="A2727" t="str">
        <f>"580780468"</f>
        <v>580780468</v>
      </c>
      <c r="B2727" t="str">
        <f>"775 672 272 15601"</f>
        <v>775 672 272 15601</v>
      </c>
      <c r="D2727" t="str">
        <f>"CENTRE DE SOINS INFIRMIERS"</f>
        <v>CENTRE DE SOINS INFIRMIERS</v>
      </c>
      <c r="F2727" t="str">
        <f>"1 RUE BIS RUE DE LA PICHEROTTE"</f>
        <v>1 RUE BIS RUE DE LA PICHEROTTE</v>
      </c>
      <c r="H2727" t="str">
        <f>"58110"</f>
        <v>58110</v>
      </c>
      <c r="I2727" t="str">
        <f>"CHATILLON EN BAZOIS"</f>
        <v>CHATILLON EN BAZOIS</v>
      </c>
      <c r="J2727" t="str">
        <f>"03 86 84 01 44 "</f>
        <v xml:space="preserve">03 86 84 01 44 </v>
      </c>
      <c r="L2727" s="1">
        <v>29335</v>
      </c>
      <c r="M2727" t="str">
        <f t="shared" si="399"/>
        <v>124</v>
      </c>
      <c r="N2727" t="str">
        <f t="shared" si="400"/>
        <v>Centre de Santé</v>
      </c>
      <c r="O2727" t="str">
        <f>"61"</f>
        <v>61</v>
      </c>
      <c r="P2727" t="str">
        <f>"Association Loi 1901 Reconnue d'Utilité Publique"</f>
        <v>Association Loi 1901 Reconnue d'Utilité Publique</v>
      </c>
      <c r="Q2727" t="str">
        <f t="shared" ref="Q2727:Q2790" si="401">"36"</f>
        <v>36</v>
      </c>
      <c r="R2727" t="str">
        <f t="shared" ref="R2727:R2790" si="402">"Tarifs conventionnels assurance maladie"</f>
        <v>Tarifs conventionnels assurance maladie</v>
      </c>
      <c r="U2727" t="str">
        <f>"750721334"</f>
        <v>750721334</v>
      </c>
    </row>
    <row r="2728" spans="1:21" x14ac:dyDescent="0.3">
      <c r="A2728" t="str">
        <f>"760800680"</f>
        <v>760800680</v>
      </c>
      <c r="B2728" t="str">
        <f>"794 994 277 01925"</f>
        <v>794 994 277 01925</v>
      </c>
      <c r="D2728" t="str">
        <f>"CLINIQUE DENTAIRE MUTUALISTE NEUVILLE"</f>
        <v>CLINIQUE DENTAIRE MUTUALISTE NEUVILLE</v>
      </c>
      <c r="F2728" t="str">
        <f>"117 AVENUE DE LA REPUBLIQUE"</f>
        <v>117 AVENUE DE LA REPUBLIQUE</v>
      </c>
      <c r="G2728" t="str">
        <f>"NEUVILLE LES DIEPPE"</f>
        <v>NEUVILLE LES DIEPPE</v>
      </c>
      <c r="H2728" t="str">
        <f>"76370"</f>
        <v>76370</v>
      </c>
      <c r="I2728" t="str">
        <f>"DIEPPE"</f>
        <v>DIEPPE</v>
      </c>
      <c r="J2728" t="str">
        <f>"02 32 06 31 00 "</f>
        <v xml:space="preserve">02 32 06 31 00 </v>
      </c>
      <c r="K2728" t="str">
        <f>"02 32 06 31 09"</f>
        <v>02 32 06 31 09</v>
      </c>
      <c r="L2728" s="1">
        <v>29326</v>
      </c>
      <c r="M2728" t="str">
        <f t="shared" si="399"/>
        <v>124</v>
      </c>
      <c r="N2728" t="str">
        <f t="shared" si="400"/>
        <v>Centre de Santé</v>
      </c>
      <c r="O2728" t="str">
        <f>"47"</f>
        <v>47</v>
      </c>
      <c r="P2728" t="str">
        <f>"Société Mutualiste"</f>
        <v>Société Mutualiste</v>
      </c>
      <c r="Q2728" t="str">
        <f t="shared" si="401"/>
        <v>36</v>
      </c>
      <c r="R2728" t="str">
        <f t="shared" si="402"/>
        <v>Tarifs conventionnels assurance maladie</v>
      </c>
      <c r="U2728" t="str">
        <f>"760000539"</f>
        <v>760000539</v>
      </c>
    </row>
    <row r="2729" spans="1:21" x14ac:dyDescent="0.3">
      <c r="A2729" t="str">
        <f>"530032549"</f>
        <v>530032549</v>
      </c>
      <c r="B2729" t="str">
        <f>"844 881 417 01512"</f>
        <v>844 881 417 01512</v>
      </c>
      <c r="D2729" t="str">
        <f>"CENTRE DE SANTE DENTAIRE"</f>
        <v>CENTRE DE SANTE DENTAIRE</v>
      </c>
      <c r="E2729" t="str">
        <f>"VYV3 PDL - SBM"</f>
        <v>VYV3 PDL - SBM</v>
      </c>
      <c r="F2729" t="str">
        <f>"3 RUE FERNAND SOULET"</f>
        <v>3 RUE FERNAND SOULET</v>
      </c>
      <c r="H2729" t="str">
        <f>"53003"</f>
        <v>53003</v>
      </c>
      <c r="I2729" t="str">
        <f>"LAVAL CEDEX"</f>
        <v>LAVAL CEDEX</v>
      </c>
      <c r="J2729" t="str">
        <f>"02 43 56 40 04 "</f>
        <v xml:space="preserve">02 43 56 40 04 </v>
      </c>
      <c r="L2729" s="1">
        <v>29324</v>
      </c>
      <c r="M2729" t="str">
        <f t="shared" si="399"/>
        <v>124</v>
      </c>
      <c r="N2729" t="str">
        <f t="shared" si="400"/>
        <v>Centre de Santé</v>
      </c>
      <c r="O2729" t="str">
        <f>"47"</f>
        <v>47</v>
      </c>
      <c r="P2729" t="str">
        <f>"Société Mutualiste"</f>
        <v>Société Mutualiste</v>
      </c>
      <c r="Q2729" t="str">
        <f t="shared" si="401"/>
        <v>36</v>
      </c>
      <c r="R2729" t="str">
        <f t="shared" si="402"/>
        <v>Tarifs conventionnels assurance maladie</v>
      </c>
      <c r="U2729" t="str">
        <f>"850028085"</f>
        <v>850028085</v>
      </c>
    </row>
    <row r="2730" spans="1:21" x14ac:dyDescent="0.3">
      <c r="A2730" t="str">
        <f>"880782040"</f>
        <v>880782040</v>
      </c>
      <c r="B2730" t="str">
        <f>"775 615 537 00500"</f>
        <v>775 615 537 00500</v>
      </c>
      <c r="D2730" t="str">
        <f>"CENTRE DE SANTE DENTAIRE UTML"</f>
        <v>CENTRE DE SANTE DENTAIRE UTML</v>
      </c>
      <c r="F2730" t="str">
        <f>"27 RUE ADELPHE SARRON"</f>
        <v>27 RUE ADELPHE SARRON</v>
      </c>
      <c r="H2730" t="str">
        <f>"88500"</f>
        <v>88500</v>
      </c>
      <c r="I2730" t="str">
        <f>"MIRECOURT"</f>
        <v>MIRECOURT</v>
      </c>
      <c r="J2730" t="str">
        <f>"03 29 37 33 25 "</f>
        <v xml:space="preserve">03 29 37 33 25 </v>
      </c>
      <c r="L2730" s="1">
        <v>29284</v>
      </c>
      <c r="M2730" t="str">
        <f t="shared" si="399"/>
        <v>124</v>
      </c>
      <c r="N2730" t="str">
        <f t="shared" si="400"/>
        <v>Centre de Santé</v>
      </c>
      <c r="O2730" t="str">
        <f>"47"</f>
        <v>47</v>
      </c>
      <c r="P2730" t="str">
        <f>"Société Mutualiste"</f>
        <v>Société Mutualiste</v>
      </c>
      <c r="Q2730" t="str">
        <f t="shared" si="401"/>
        <v>36</v>
      </c>
      <c r="R2730" t="str">
        <f t="shared" si="402"/>
        <v>Tarifs conventionnels assurance maladie</v>
      </c>
      <c r="U2730" t="str">
        <f>"540013042"</f>
        <v>540013042</v>
      </c>
    </row>
    <row r="2731" spans="1:21" x14ac:dyDescent="0.3">
      <c r="A2731" t="str">
        <f>"180004012"</f>
        <v>180004012</v>
      </c>
      <c r="B2731" t="str">
        <f>"211 800 339 01062"</f>
        <v>211 800 339 01062</v>
      </c>
      <c r="D2731" t="str">
        <f>"CENTRE DE SANTÉ DE LA VILLE DE BOURGES"</f>
        <v>CENTRE DE SANTÉ DE LA VILLE DE BOURGES</v>
      </c>
      <c r="F2731" t="str">
        <f>"8 AVENUE STENDHAL"</f>
        <v>8 AVENUE STENDHAL</v>
      </c>
      <c r="H2731" t="str">
        <f>"18000"</f>
        <v>18000</v>
      </c>
      <c r="I2731" t="str">
        <f>"BOURGES"</f>
        <v>BOURGES</v>
      </c>
      <c r="J2731" t="str">
        <f>"08 48 57 82 88 "</f>
        <v xml:space="preserve">08 48 57 82 88 </v>
      </c>
      <c r="K2731" t="str">
        <f>"02 48 24 49 11"</f>
        <v>02 48 24 49 11</v>
      </c>
      <c r="L2731" s="1">
        <v>29283</v>
      </c>
      <c r="M2731" t="str">
        <f t="shared" si="399"/>
        <v>124</v>
      </c>
      <c r="N2731" t="str">
        <f t="shared" si="400"/>
        <v>Centre de Santé</v>
      </c>
      <c r="O2731" t="str">
        <f>"03"</f>
        <v>03</v>
      </c>
      <c r="P2731" t="str">
        <f>"Commune"</f>
        <v>Commune</v>
      </c>
      <c r="Q2731" t="str">
        <f t="shared" si="401"/>
        <v>36</v>
      </c>
      <c r="R2731" t="str">
        <f t="shared" si="402"/>
        <v>Tarifs conventionnels assurance maladie</v>
      </c>
      <c r="U2731" t="str">
        <f>"180005050"</f>
        <v>180005050</v>
      </c>
    </row>
    <row r="2732" spans="1:21" x14ac:dyDescent="0.3">
      <c r="A2732" t="str">
        <f>"290006279"</f>
        <v>290006279</v>
      </c>
      <c r="B2732" t="str">
        <f>"319 025 193 00024"</f>
        <v>319 025 193 00024</v>
      </c>
      <c r="D2732" t="str">
        <f>"CDS INFIRMIERS DE LANDELEAU"</f>
        <v>CDS INFIRMIERS DE LANDELEAU</v>
      </c>
      <c r="F2732" t="str">
        <f>"47 RUE KREISKER"</f>
        <v>47 RUE KREISKER</v>
      </c>
      <c r="H2732" t="str">
        <f>"29530"</f>
        <v>29530</v>
      </c>
      <c r="I2732" t="str">
        <f>"LANDELEAU"</f>
        <v>LANDELEAU</v>
      </c>
      <c r="J2732" t="str">
        <f>"02 98 93 83 58 "</f>
        <v xml:space="preserve">02 98 93 83 58 </v>
      </c>
      <c r="L2732" s="1">
        <v>29281</v>
      </c>
      <c r="M2732" t="str">
        <f t="shared" si="399"/>
        <v>124</v>
      </c>
      <c r="N2732" t="str">
        <f t="shared" si="400"/>
        <v>Centre de Santé</v>
      </c>
      <c r="O2732" t="str">
        <f>"61"</f>
        <v>61</v>
      </c>
      <c r="P2732" t="str">
        <f>"Association Loi 1901 Reconnue d'Utilité Publique"</f>
        <v>Association Loi 1901 Reconnue d'Utilité Publique</v>
      </c>
      <c r="Q2732" t="str">
        <f t="shared" si="401"/>
        <v>36</v>
      </c>
      <c r="R2732" t="str">
        <f t="shared" si="402"/>
        <v>Tarifs conventionnels assurance maladie</v>
      </c>
      <c r="U2732" t="str">
        <f>"290001353"</f>
        <v>290001353</v>
      </c>
    </row>
    <row r="2733" spans="1:21" x14ac:dyDescent="0.3">
      <c r="A2733" t="str">
        <f>"750040933"</f>
        <v>750040933</v>
      </c>
      <c r="B2733" t="str">
        <f>"784 615 171 00013"</f>
        <v>784 615 171 00013</v>
      </c>
      <c r="D2733" t="str">
        <f>"CDS SOINS INFIRMIERS SOEURS FRANCISCA"</f>
        <v>CDS SOINS INFIRMIERS SOEURS FRANCISCA</v>
      </c>
      <c r="F2733" t="str">
        <f>"31 RUE DOMBASLE"</f>
        <v>31 RUE DOMBASLE</v>
      </c>
      <c r="H2733" t="str">
        <f>"75015"</f>
        <v>75015</v>
      </c>
      <c r="I2733" t="str">
        <f>"PARIS"</f>
        <v>PARIS</v>
      </c>
      <c r="J2733" t="str">
        <f>"01 48 28 28 00 "</f>
        <v xml:space="preserve">01 48 28 28 00 </v>
      </c>
      <c r="L2733" s="1">
        <v>29270</v>
      </c>
      <c r="M2733" t="str">
        <f t="shared" si="399"/>
        <v>124</v>
      </c>
      <c r="N2733" t="str">
        <f t="shared" si="400"/>
        <v>Centre de Santé</v>
      </c>
      <c r="O2733" t="str">
        <f>"64"</f>
        <v>64</v>
      </c>
      <c r="P2733" t="str">
        <f>"Congrégation"</f>
        <v>Congrégation</v>
      </c>
      <c r="Q2733" t="str">
        <f t="shared" si="401"/>
        <v>36</v>
      </c>
      <c r="R2733" t="str">
        <f t="shared" si="402"/>
        <v>Tarifs conventionnels assurance maladie</v>
      </c>
      <c r="U2733" t="str">
        <f>"750804395"</f>
        <v>750804395</v>
      </c>
    </row>
    <row r="2734" spans="1:21" x14ac:dyDescent="0.3">
      <c r="A2734" t="str">
        <f>"290006220"</f>
        <v>290006220</v>
      </c>
      <c r="B2734" t="str">
        <f>"318 649 118 00029"</f>
        <v>318 649 118 00029</v>
      </c>
      <c r="D2734" t="str">
        <f>"CDS INFIRMIER TAULE"</f>
        <v>CDS INFIRMIER TAULE</v>
      </c>
      <c r="F2734" t="str">
        <f>"1 RUE DES GENETS"</f>
        <v>1 RUE DES GENETS</v>
      </c>
      <c r="H2734" t="str">
        <f>"29670"</f>
        <v>29670</v>
      </c>
      <c r="I2734" t="str">
        <f>"TAULE"</f>
        <v>TAULE</v>
      </c>
      <c r="J2734" t="str">
        <f>"02 98 67 14 83 "</f>
        <v xml:space="preserve">02 98 67 14 83 </v>
      </c>
      <c r="L2734" s="1">
        <v>29264</v>
      </c>
      <c r="M2734" t="str">
        <f t="shared" si="399"/>
        <v>124</v>
      </c>
      <c r="N2734" t="str">
        <f t="shared" si="400"/>
        <v>Centre de Santé</v>
      </c>
      <c r="O2734" t="str">
        <f>"60"</f>
        <v>60</v>
      </c>
      <c r="P2734" t="str">
        <f>"Association Loi 1901 non Reconnue d'Utilité Publique"</f>
        <v>Association Loi 1901 non Reconnue d'Utilité Publique</v>
      </c>
      <c r="Q2734" t="str">
        <f t="shared" si="401"/>
        <v>36</v>
      </c>
      <c r="R2734" t="str">
        <f t="shared" si="402"/>
        <v>Tarifs conventionnels assurance maladie</v>
      </c>
      <c r="U2734" t="str">
        <f>"290010115"</f>
        <v>290010115</v>
      </c>
    </row>
    <row r="2735" spans="1:21" x14ac:dyDescent="0.3">
      <c r="A2735" t="str">
        <f>"440005049"</f>
        <v>440005049</v>
      </c>
      <c r="B2735" t="str">
        <f>"214 401 903 00197"</f>
        <v>214 401 903 00197</v>
      </c>
      <c r="D2735" t="str">
        <f>"CENTRE DE SANTE ET PREVENTION"</f>
        <v>CENTRE DE SANTE ET PREVENTION</v>
      </c>
      <c r="F2735" t="str">
        <f>"3 RUE DU GENERAL DUEZ"</f>
        <v>3 RUE DU GENERAL DUEZ</v>
      </c>
      <c r="H2735" t="str">
        <f>"44230"</f>
        <v>44230</v>
      </c>
      <c r="I2735" t="str">
        <f>"ST SEBASTIEN SUR LOIRE"</f>
        <v>ST SEBASTIEN SUR LOIRE</v>
      </c>
      <c r="J2735" t="str">
        <f>"02 40 80 55 04 "</f>
        <v xml:space="preserve">02 40 80 55 04 </v>
      </c>
      <c r="L2735" s="1">
        <v>29235</v>
      </c>
      <c r="M2735" t="str">
        <f t="shared" si="399"/>
        <v>124</v>
      </c>
      <c r="N2735" t="str">
        <f t="shared" si="400"/>
        <v>Centre de Santé</v>
      </c>
      <c r="O2735" t="str">
        <f>"03"</f>
        <v>03</v>
      </c>
      <c r="P2735" t="str">
        <f>"Commune"</f>
        <v>Commune</v>
      </c>
      <c r="Q2735" t="str">
        <f t="shared" si="401"/>
        <v>36</v>
      </c>
      <c r="R2735" t="str">
        <f t="shared" si="402"/>
        <v>Tarifs conventionnels assurance maladie</v>
      </c>
      <c r="U2735" t="str">
        <f>"440018570"</f>
        <v>440018570</v>
      </c>
    </row>
    <row r="2736" spans="1:21" x14ac:dyDescent="0.3">
      <c r="A2736" t="str">
        <f>"310786579"</f>
        <v>310786579</v>
      </c>
      <c r="B2736" t="str">
        <f>"776 950 529 00045"</f>
        <v>776 950 529 00045</v>
      </c>
      <c r="D2736" t="str">
        <f>"CABINET DENTAIRE"</f>
        <v>CABINET DENTAIRE</v>
      </c>
      <c r="F2736" t="str">
        <f>"47 AVENUE DE TOULOUSE"</f>
        <v>47 AVENUE DE TOULOUSE</v>
      </c>
      <c r="H2736" t="str">
        <f>"31240"</f>
        <v>31240</v>
      </c>
      <c r="I2736" t="str">
        <f>"L UNION"</f>
        <v>L UNION</v>
      </c>
      <c r="J2736" t="str">
        <f>"05 61 74 40 13 "</f>
        <v xml:space="preserve">05 61 74 40 13 </v>
      </c>
      <c r="L2736" s="1">
        <v>29227</v>
      </c>
      <c r="M2736" t="str">
        <f t="shared" si="399"/>
        <v>124</v>
      </c>
      <c r="N2736" t="str">
        <f t="shared" si="400"/>
        <v>Centre de Santé</v>
      </c>
      <c r="O2736" t="str">
        <f>"47"</f>
        <v>47</v>
      </c>
      <c r="P2736" t="str">
        <f>"Société Mutualiste"</f>
        <v>Société Mutualiste</v>
      </c>
      <c r="Q2736" t="str">
        <f t="shared" si="401"/>
        <v>36</v>
      </c>
      <c r="R2736" t="str">
        <f t="shared" si="402"/>
        <v>Tarifs conventionnels assurance maladie</v>
      </c>
      <c r="U2736" t="str">
        <f>"310788682"</f>
        <v>310788682</v>
      </c>
    </row>
    <row r="2737" spans="1:21" x14ac:dyDescent="0.3">
      <c r="A2737" t="str">
        <f>"120782941"</f>
        <v>120782941</v>
      </c>
      <c r="B2737" t="str">
        <f>"314 869 488 00051"</f>
        <v>314 869 488 00051</v>
      </c>
      <c r="D2737" t="str">
        <f>"CENTRE SOINS ET SANTE DU SEVERAGAIS"</f>
        <v>CENTRE SOINS ET SANTE DU SEVERAGAIS</v>
      </c>
      <c r="F2737" t="str">
        <f>"1 AVENUE ARISTIDE BRIAND"</f>
        <v>1 AVENUE ARISTIDE BRIAND</v>
      </c>
      <c r="H2737" t="str">
        <f>"12150"</f>
        <v>12150</v>
      </c>
      <c r="I2737" t="str">
        <f>"SEVERAC D AVEYRON"</f>
        <v>SEVERAC D AVEYRON</v>
      </c>
      <c r="J2737" t="str">
        <f>"05 65 47 62 65 "</f>
        <v xml:space="preserve">05 65 47 62 65 </v>
      </c>
      <c r="K2737" t="str">
        <f>"05 65 47 61 21"</f>
        <v>05 65 47 61 21</v>
      </c>
      <c r="L2737" s="1">
        <v>29221</v>
      </c>
      <c r="M2737" t="str">
        <f t="shared" si="399"/>
        <v>124</v>
      </c>
      <c r="N2737" t="str">
        <f t="shared" si="400"/>
        <v>Centre de Santé</v>
      </c>
      <c r="O2737" t="str">
        <f>"60"</f>
        <v>60</v>
      </c>
      <c r="P2737" t="str">
        <f>"Association Loi 1901 non Reconnue d'Utilité Publique"</f>
        <v>Association Loi 1901 non Reconnue d'Utilité Publique</v>
      </c>
      <c r="Q2737" t="str">
        <f t="shared" si="401"/>
        <v>36</v>
      </c>
      <c r="R2737" t="str">
        <f t="shared" si="402"/>
        <v>Tarifs conventionnels assurance maladie</v>
      </c>
      <c r="U2737" t="str">
        <f>"120784905"</f>
        <v>120784905</v>
      </c>
    </row>
    <row r="2738" spans="1:21" x14ac:dyDescent="0.3">
      <c r="A2738" t="str">
        <f>"130798283"</f>
        <v>130798283</v>
      </c>
      <c r="D2738" t="str">
        <f>"CSP OXANCE RAPHAEL BACCI"</f>
        <v>CSP OXANCE RAPHAEL BACCI</v>
      </c>
      <c r="F2738" t="str">
        <f>"15 CHEMIN DE SAINT-BARNABE"</f>
        <v>15 CHEMIN DE SAINT-BARNABE</v>
      </c>
      <c r="H2738" t="str">
        <f>"13004"</f>
        <v>13004</v>
      </c>
      <c r="I2738" t="str">
        <f>"MARSEILLE"</f>
        <v>MARSEILLE</v>
      </c>
      <c r="J2738" t="str">
        <f>"04 91 49 90 20 "</f>
        <v xml:space="preserve">04 91 49 90 20 </v>
      </c>
      <c r="L2738" s="1">
        <v>29221</v>
      </c>
      <c r="M2738" t="str">
        <f t="shared" si="399"/>
        <v>124</v>
      </c>
      <c r="N2738" t="str">
        <f t="shared" si="400"/>
        <v>Centre de Santé</v>
      </c>
      <c r="O2738" t="str">
        <f>"47"</f>
        <v>47</v>
      </c>
      <c r="P2738" t="str">
        <f>"Société Mutualiste"</f>
        <v>Société Mutualiste</v>
      </c>
      <c r="Q2738" t="str">
        <f t="shared" si="401"/>
        <v>36</v>
      </c>
      <c r="R2738" t="str">
        <f t="shared" si="402"/>
        <v>Tarifs conventionnels assurance maladie</v>
      </c>
      <c r="U2738" t="str">
        <f>"690048111"</f>
        <v>690048111</v>
      </c>
    </row>
    <row r="2739" spans="1:21" x14ac:dyDescent="0.3">
      <c r="A2739" t="str">
        <f>"390783223"</f>
        <v>390783223</v>
      </c>
      <c r="B2739" t="str">
        <f>"213 904 709 00077"</f>
        <v>213 904 709 00077</v>
      </c>
      <c r="D2739" t="str">
        <f>"CENTRE DE SOINS INFIRMIERS COMMUNAL"</f>
        <v>CENTRE DE SOINS INFIRMIERS COMMUNAL</v>
      </c>
      <c r="E2739" t="str">
        <f>"FLPA"</f>
        <v>FLPA</v>
      </c>
      <c r="F2739" t="str">
        <f>"164 RUE PASTEUR"</f>
        <v>164 RUE PASTEUR</v>
      </c>
      <c r="H2739" t="str">
        <f>"39220"</f>
        <v>39220</v>
      </c>
      <c r="I2739" t="str">
        <f>"LES ROUSSES"</f>
        <v>LES ROUSSES</v>
      </c>
      <c r="J2739" t="str">
        <f>"03 84 60 31 19 "</f>
        <v xml:space="preserve">03 84 60 31 19 </v>
      </c>
      <c r="K2739" t="str">
        <f>"03 84 60 07 55"</f>
        <v>03 84 60 07 55</v>
      </c>
      <c r="L2739" s="1">
        <v>29221</v>
      </c>
      <c r="M2739" t="str">
        <f t="shared" si="399"/>
        <v>124</v>
      </c>
      <c r="N2739" t="str">
        <f t="shared" si="400"/>
        <v>Centre de Santé</v>
      </c>
      <c r="O2739" t="str">
        <f>"03"</f>
        <v>03</v>
      </c>
      <c r="P2739" t="str">
        <f>"Commune"</f>
        <v>Commune</v>
      </c>
      <c r="Q2739" t="str">
        <f t="shared" si="401"/>
        <v>36</v>
      </c>
      <c r="R2739" t="str">
        <f t="shared" si="402"/>
        <v>Tarifs conventionnels assurance maladie</v>
      </c>
      <c r="U2739" t="str">
        <f>"390783595"</f>
        <v>390783595</v>
      </c>
    </row>
    <row r="2740" spans="1:21" x14ac:dyDescent="0.3">
      <c r="A2740" t="str">
        <f>"690035670"</f>
        <v>690035670</v>
      </c>
      <c r="B2740" t="str">
        <f>"317 681 682 00017"</f>
        <v>317 681 682 00017</v>
      </c>
      <c r="D2740" t="str">
        <f>"CENTRE DE SANTE BRON"</f>
        <v>CENTRE DE SANTE BRON</v>
      </c>
      <c r="F2740" t="str">
        <f>"31 RUE DE VERDUN"</f>
        <v>31 RUE DE VERDUN</v>
      </c>
      <c r="H2740" t="str">
        <f>"69500"</f>
        <v>69500</v>
      </c>
      <c r="I2740" t="str">
        <f>"BRON"</f>
        <v>BRON</v>
      </c>
      <c r="J2740" t="str">
        <f>"04 78 26 85 11 "</f>
        <v xml:space="preserve">04 78 26 85 11 </v>
      </c>
      <c r="K2740" t="str">
        <f>"04 72 81 77 15"</f>
        <v>04 72 81 77 15</v>
      </c>
      <c r="L2740" s="1">
        <v>29221</v>
      </c>
      <c r="M2740" t="str">
        <f t="shared" si="399"/>
        <v>124</v>
      </c>
      <c r="N2740" t="str">
        <f t="shared" si="400"/>
        <v>Centre de Santé</v>
      </c>
      <c r="O2740" t="str">
        <f>"60"</f>
        <v>60</v>
      </c>
      <c r="P2740" t="str">
        <f>"Association Loi 1901 non Reconnue d'Utilité Publique"</f>
        <v>Association Loi 1901 non Reconnue d'Utilité Publique</v>
      </c>
      <c r="Q2740" t="str">
        <f t="shared" si="401"/>
        <v>36</v>
      </c>
      <c r="R2740" t="str">
        <f t="shared" si="402"/>
        <v>Tarifs conventionnels assurance maladie</v>
      </c>
      <c r="U2740" t="str">
        <f>"690791462"</f>
        <v>690791462</v>
      </c>
    </row>
    <row r="2741" spans="1:21" x14ac:dyDescent="0.3">
      <c r="A2741" t="str">
        <f>"560023566"</f>
        <v>560023566</v>
      </c>
      <c r="B2741" t="str">
        <f>"395 171 226 00123"</f>
        <v>395 171 226 00123</v>
      </c>
      <c r="D2741" t="str">
        <f>"CDS INFIRMIER DE PLOEMEUR"</f>
        <v>CDS INFIRMIER DE PLOEMEUR</v>
      </c>
      <c r="F2741" t="str">
        <f>"28 RUE ST BIEUZY"</f>
        <v>28 RUE ST BIEUZY</v>
      </c>
      <c r="H2741" t="str">
        <f>"56270"</f>
        <v>56270</v>
      </c>
      <c r="I2741" t="str">
        <f>"PLOEMEUR"</f>
        <v>PLOEMEUR</v>
      </c>
      <c r="J2741" t="str">
        <f>"02 97 86 34 12 "</f>
        <v xml:space="preserve">02 97 86 34 12 </v>
      </c>
      <c r="K2741" t="str">
        <f>"02 97 86 12 50"</f>
        <v>02 97 86 12 50</v>
      </c>
      <c r="L2741" s="1">
        <v>29220</v>
      </c>
      <c r="M2741" t="str">
        <f t="shared" si="399"/>
        <v>124</v>
      </c>
      <c r="N2741" t="str">
        <f t="shared" si="400"/>
        <v>Centre de Santé</v>
      </c>
      <c r="O2741" t="str">
        <f>"47"</f>
        <v>47</v>
      </c>
      <c r="P2741" t="str">
        <f>"Société Mutualiste"</f>
        <v>Société Mutualiste</v>
      </c>
      <c r="Q2741" t="str">
        <f t="shared" si="401"/>
        <v>36</v>
      </c>
      <c r="R2741" t="str">
        <f t="shared" si="402"/>
        <v>Tarifs conventionnels assurance maladie</v>
      </c>
      <c r="U2741" t="str">
        <f>"560025025"</f>
        <v>560025025</v>
      </c>
    </row>
    <row r="2742" spans="1:21" x14ac:dyDescent="0.3">
      <c r="A2742" t="str">
        <f>"750012767"</f>
        <v>750012767</v>
      </c>
      <c r="B2742" t="str">
        <f>"442 488 995 00030"</f>
        <v>442 488 995 00030</v>
      </c>
      <c r="D2742" t="str">
        <f>"CDS MEDICAL ET DENTAIRE JACK SENET"</f>
        <v>CDS MEDICAL ET DENTAIRE JACK SENET</v>
      </c>
      <c r="F2742" t="str">
        <f>"12 RUE ARMAND MOISANT"</f>
        <v>12 RUE ARMAND MOISANT</v>
      </c>
      <c r="H2742" t="str">
        <f>"75731"</f>
        <v>75731</v>
      </c>
      <c r="I2742" t="str">
        <f>"PARIS CEDEX 15"</f>
        <v>PARIS CEDEX 15</v>
      </c>
      <c r="J2742" t="str">
        <f>"01 42 79 16 11 "</f>
        <v xml:space="preserve">01 42 79 16 11 </v>
      </c>
      <c r="K2742" t="str">
        <f>"01 42 79 16 29"</f>
        <v>01 42 79 16 29</v>
      </c>
      <c r="L2742" s="1">
        <v>29206</v>
      </c>
      <c r="M2742" t="str">
        <f t="shared" si="399"/>
        <v>124</v>
      </c>
      <c r="N2742" t="str">
        <f t="shared" si="400"/>
        <v>Centre de Santé</v>
      </c>
      <c r="O2742" t="str">
        <f>"47"</f>
        <v>47</v>
      </c>
      <c r="P2742" t="str">
        <f>"Société Mutualiste"</f>
        <v>Société Mutualiste</v>
      </c>
      <c r="Q2742" t="str">
        <f t="shared" si="401"/>
        <v>36</v>
      </c>
      <c r="R2742" t="str">
        <f t="shared" si="402"/>
        <v>Tarifs conventionnels assurance maladie</v>
      </c>
      <c r="U2742" t="str">
        <f>"750810269"</f>
        <v>750810269</v>
      </c>
    </row>
    <row r="2743" spans="1:21" x14ac:dyDescent="0.3">
      <c r="A2743" t="str">
        <f>"070004783"</f>
        <v>070004783</v>
      </c>
      <c r="B2743" t="str">
        <f>"315 028 522 00029"</f>
        <v>315 028 522 00029</v>
      </c>
      <c r="D2743" t="str">
        <f>"CENTRE DE SANTE CSI SATILLIEU"</f>
        <v>CENTRE DE SANTE CSI SATILLIEU</v>
      </c>
      <c r="F2743" t="str">
        <f>"PLACE DES GAUDS"</f>
        <v>PLACE DES GAUDS</v>
      </c>
      <c r="H2743" t="str">
        <f>"07290"</f>
        <v>07290</v>
      </c>
      <c r="I2743" t="str">
        <f>"SATILLIEU"</f>
        <v>SATILLIEU</v>
      </c>
      <c r="J2743" t="str">
        <f>"04 75 34 97 97 "</f>
        <v xml:space="preserve">04 75 34 97 97 </v>
      </c>
      <c r="K2743" t="str">
        <f>"04 75 34 97 97"</f>
        <v>04 75 34 97 97</v>
      </c>
      <c r="L2743" s="1">
        <v>29190</v>
      </c>
      <c r="M2743" t="str">
        <f t="shared" si="399"/>
        <v>124</v>
      </c>
      <c r="N2743" t="str">
        <f t="shared" si="400"/>
        <v>Centre de Santé</v>
      </c>
      <c r="O2743" t="str">
        <f>"60"</f>
        <v>60</v>
      </c>
      <c r="P2743" t="str">
        <f>"Association Loi 1901 non Reconnue d'Utilité Publique"</f>
        <v>Association Loi 1901 non Reconnue d'Utilité Publique</v>
      </c>
      <c r="Q2743" t="str">
        <f t="shared" si="401"/>
        <v>36</v>
      </c>
      <c r="R2743" t="str">
        <f t="shared" si="402"/>
        <v>Tarifs conventionnels assurance maladie</v>
      </c>
      <c r="U2743" t="str">
        <f>"070004775"</f>
        <v>070004775</v>
      </c>
    </row>
    <row r="2744" spans="1:21" x14ac:dyDescent="0.3">
      <c r="A2744" t="str">
        <f>"530002252"</f>
        <v>530002252</v>
      </c>
      <c r="B2744" t="str">
        <f>"318 200 367 00015"</f>
        <v>318 200 367 00015</v>
      </c>
      <c r="D2744" t="str">
        <f>"CENTRE DE SOINS INFIRMIERS ANDOUILLE"</f>
        <v>CENTRE DE SOINS INFIRMIERS ANDOUILLE</v>
      </c>
      <c r="F2744" t="str">
        <f>"2 RUE FREDERIC CHAPLET"</f>
        <v>2 RUE FREDERIC CHAPLET</v>
      </c>
      <c r="H2744" t="str">
        <f>"53240"</f>
        <v>53240</v>
      </c>
      <c r="I2744" t="str">
        <f>"ANDOUILLE"</f>
        <v>ANDOUILLE</v>
      </c>
      <c r="J2744" t="str">
        <f>"02 43 69 73 26 "</f>
        <v xml:space="preserve">02 43 69 73 26 </v>
      </c>
      <c r="K2744" t="str">
        <f>"02 43 68 34 07"</f>
        <v>02 43 68 34 07</v>
      </c>
      <c r="L2744" s="1">
        <v>29180</v>
      </c>
      <c r="M2744" t="str">
        <f t="shared" si="399"/>
        <v>124</v>
      </c>
      <c r="N2744" t="str">
        <f t="shared" si="400"/>
        <v>Centre de Santé</v>
      </c>
      <c r="O2744" t="str">
        <f>"60"</f>
        <v>60</v>
      </c>
      <c r="P2744" t="str">
        <f>"Association Loi 1901 non Reconnue d'Utilité Publique"</f>
        <v>Association Loi 1901 non Reconnue d'Utilité Publique</v>
      </c>
      <c r="Q2744" t="str">
        <f t="shared" si="401"/>
        <v>36</v>
      </c>
      <c r="R2744" t="str">
        <f t="shared" si="402"/>
        <v>Tarifs conventionnels assurance maladie</v>
      </c>
      <c r="U2744" t="str">
        <f>"530029057"</f>
        <v>530029057</v>
      </c>
    </row>
    <row r="2745" spans="1:21" x14ac:dyDescent="0.3">
      <c r="A2745" t="str">
        <f>"810102012"</f>
        <v>810102012</v>
      </c>
      <c r="B2745" t="str">
        <f>"775 711 674 00066"</f>
        <v>775 711 674 00066</v>
      </c>
      <c r="D2745" t="str">
        <f>"CTRE DENT MUT GAILLAC"</f>
        <v>CTRE DENT MUT GAILLAC</v>
      </c>
      <c r="F2745" t="str">
        <f>"53 RUE DE LA MADELEINE"</f>
        <v>53 RUE DE LA MADELEINE</v>
      </c>
      <c r="H2745" t="str">
        <f>"81600"</f>
        <v>81600</v>
      </c>
      <c r="I2745" t="str">
        <f>"GAILLAC"</f>
        <v>GAILLAC</v>
      </c>
      <c r="J2745" t="str">
        <f>"05 63 57 19 94 "</f>
        <v xml:space="preserve">05 63 57 19 94 </v>
      </c>
      <c r="K2745" t="str">
        <f>"05 63 57 76 86"</f>
        <v>05 63 57 76 86</v>
      </c>
      <c r="L2745" s="1">
        <v>29179</v>
      </c>
      <c r="M2745" t="str">
        <f t="shared" si="399"/>
        <v>124</v>
      </c>
      <c r="N2745" t="str">
        <f t="shared" si="400"/>
        <v>Centre de Santé</v>
      </c>
      <c r="O2745" t="str">
        <f>"47"</f>
        <v>47</v>
      </c>
      <c r="P2745" t="str">
        <f>"Société Mutualiste"</f>
        <v>Société Mutualiste</v>
      </c>
      <c r="Q2745" t="str">
        <f t="shared" si="401"/>
        <v>36</v>
      </c>
      <c r="R2745" t="str">
        <f t="shared" si="402"/>
        <v>Tarifs conventionnels assurance maladie</v>
      </c>
      <c r="U2745" t="str">
        <f>"810099903"</f>
        <v>810099903</v>
      </c>
    </row>
    <row r="2746" spans="1:21" x14ac:dyDescent="0.3">
      <c r="A2746" t="str">
        <f>"480780741"</f>
        <v>480780741</v>
      </c>
      <c r="B2746" t="str">
        <f>"318 518 990 00011"</f>
        <v>318 518 990 00011</v>
      </c>
      <c r="D2746" t="str">
        <f>"CDS INFIRMIER LA COLAGNE"</f>
        <v>CDS INFIRMIER LA COLAGNE</v>
      </c>
      <c r="F2746" t="str">
        <f>"RUE DE FORTUNIO"</f>
        <v>RUE DE FORTUNIO</v>
      </c>
      <c r="H2746" t="str">
        <f>"48700"</f>
        <v>48700</v>
      </c>
      <c r="I2746" t="str">
        <f>"MONTS DE RANDON"</f>
        <v>MONTS DE RANDON</v>
      </c>
      <c r="J2746" t="str">
        <f>"04 66 47 37 67 "</f>
        <v xml:space="preserve">04 66 47 37 67 </v>
      </c>
      <c r="L2746" s="1">
        <v>29174</v>
      </c>
      <c r="M2746" t="str">
        <f t="shared" si="399"/>
        <v>124</v>
      </c>
      <c r="N2746" t="str">
        <f t="shared" si="400"/>
        <v>Centre de Santé</v>
      </c>
      <c r="O2746" t="str">
        <f>"60"</f>
        <v>60</v>
      </c>
      <c r="P2746" t="str">
        <f>"Association Loi 1901 non Reconnue d'Utilité Publique"</f>
        <v>Association Loi 1901 non Reconnue d'Utilité Publique</v>
      </c>
      <c r="Q2746" t="str">
        <f t="shared" si="401"/>
        <v>36</v>
      </c>
      <c r="R2746" t="str">
        <f t="shared" si="402"/>
        <v>Tarifs conventionnels assurance maladie</v>
      </c>
      <c r="U2746" t="str">
        <f>"480000181"</f>
        <v>480000181</v>
      </c>
    </row>
    <row r="2747" spans="1:21" x14ac:dyDescent="0.3">
      <c r="A2747" t="str">
        <f>"450009675"</f>
        <v>450009675</v>
      </c>
      <c r="B2747" t="str">
        <f>"775 347 891 01702"</f>
        <v>775 347 891 01702</v>
      </c>
      <c r="D2747" t="str">
        <f>"CENTRE SANTE DENTAIRE VYV3 MONTARGIS"</f>
        <v>CENTRE SANTE DENTAIRE VYV3 MONTARGIS</v>
      </c>
      <c r="F2747" t="str">
        <f>"3 ALLEE DU DR GASTELLIER"</f>
        <v>3 ALLEE DU DR GASTELLIER</v>
      </c>
      <c r="H2747" t="str">
        <f>"45200"</f>
        <v>45200</v>
      </c>
      <c r="I2747" t="str">
        <f>"MONTARGIS"</f>
        <v>MONTARGIS</v>
      </c>
      <c r="J2747" t="str">
        <f>"02 38 85 82 14 "</f>
        <v xml:space="preserve">02 38 85 82 14 </v>
      </c>
      <c r="K2747" t="str">
        <f>"02 38 89 01 89"</f>
        <v>02 38 89 01 89</v>
      </c>
      <c r="L2747" s="1">
        <v>29165</v>
      </c>
      <c r="M2747" t="str">
        <f t="shared" si="399"/>
        <v>124</v>
      </c>
      <c r="N2747" t="str">
        <f t="shared" si="400"/>
        <v>Centre de Santé</v>
      </c>
      <c r="O2747" t="str">
        <f>"47"</f>
        <v>47</v>
      </c>
      <c r="P2747" t="str">
        <f>"Société Mutualiste"</f>
        <v>Société Mutualiste</v>
      </c>
      <c r="Q2747" t="str">
        <f t="shared" si="401"/>
        <v>36</v>
      </c>
      <c r="R2747" t="str">
        <f t="shared" si="402"/>
        <v>Tarifs conventionnels assurance maladie</v>
      </c>
      <c r="U2747" t="str">
        <f>"370100935"</f>
        <v>370100935</v>
      </c>
    </row>
    <row r="2748" spans="1:21" x14ac:dyDescent="0.3">
      <c r="A2748" t="str">
        <f>"480781889"</f>
        <v>480781889</v>
      </c>
      <c r="B2748" t="str">
        <f>"214 800 435 00015"</f>
        <v>214 800 435 00015</v>
      </c>
      <c r="D2748" t="str">
        <f>"CDS INFIRMIER TERRE DE RANDON"</f>
        <v>CDS INFIRMIER TERRE DE RANDON</v>
      </c>
      <c r="E2748" t="str">
        <f>"MAIRIE"</f>
        <v>MAIRIE</v>
      </c>
      <c r="F2748" t="str">
        <f>"2 PLACE DUGUESCLIN"</f>
        <v>2 PLACE DUGUESCLIN</v>
      </c>
      <c r="H2748" t="str">
        <f>"48170"</f>
        <v>48170</v>
      </c>
      <c r="I2748" t="str">
        <f>"CHATEAUNEUF DE RANDON"</f>
        <v>CHATEAUNEUF DE RANDON</v>
      </c>
      <c r="J2748" t="str">
        <f>"04 66 47 91 36 "</f>
        <v xml:space="preserve">04 66 47 91 36 </v>
      </c>
      <c r="L2748" s="1">
        <v>29129</v>
      </c>
      <c r="M2748" t="str">
        <f t="shared" si="399"/>
        <v>124</v>
      </c>
      <c r="N2748" t="str">
        <f t="shared" si="400"/>
        <v>Centre de Santé</v>
      </c>
      <c r="O2748" t="str">
        <f>"17"</f>
        <v>17</v>
      </c>
      <c r="P2748" t="str">
        <f>"Centre Communal d'Action Sociale"</f>
        <v>Centre Communal d'Action Sociale</v>
      </c>
      <c r="Q2748" t="str">
        <f t="shared" si="401"/>
        <v>36</v>
      </c>
      <c r="R2748" t="str">
        <f t="shared" si="402"/>
        <v>Tarifs conventionnels assurance maladie</v>
      </c>
      <c r="U2748" t="str">
        <f>"480782309"</f>
        <v>480782309</v>
      </c>
    </row>
    <row r="2749" spans="1:21" x14ac:dyDescent="0.3">
      <c r="A2749" t="str">
        <f>"680000825"</f>
        <v>680000825</v>
      </c>
      <c r="B2749" t="str">
        <f>"317 164 689 00299"</f>
        <v>317 164 689 00299</v>
      </c>
      <c r="D2749" t="str">
        <f>"CTRE SOINS INFIRMIERS"</f>
        <v>CTRE SOINS INFIRMIERS</v>
      </c>
      <c r="F2749" t="str">
        <f>"14 PLACE DE LA REPUBLIQUE"</f>
        <v>14 PLACE DE LA REPUBLIQUE</v>
      </c>
      <c r="H2749" t="str">
        <f>"68250"</f>
        <v>68250</v>
      </c>
      <c r="I2749" t="str">
        <f>"ROUFFACH"</f>
        <v>ROUFFACH</v>
      </c>
      <c r="J2749" t="str">
        <f>"03 89 49 62 46 "</f>
        <v xml:space="preserve">03 89 49 62 46 </v>
      </c>
      <c r="K2749" t="str">
        <f>"03 89 49 78 98"</f>
        <v>03 89 49 78 98</v>
      </c>
      <c r="L2749" s="1">
        <v>29129</v>
      </c>
      <c r="M2749" t="str">
        <f t="shared" si="399"/>
        <v>124</v>
      </c>
      <c r="N2749" t="str">
        <f t="shared" si="400"/>
        <v>Centre de Santé</v>
      </c>
      <c r="O2749" t="str">
        <f>"62"</f>
        <v>62</v>
      </c>
      <c r="P2749" t="str">
        <f>"Association de Droit Local"</f>
        <v>Association de Droit Local</v>
      </c>
      <c r="Q2749" t="str">
        <f t="shared" si="401"/>
        <v>36</v>
      </c>
      <c r="R2749" t="str">
        <f t="shared" si="402"/>
        <v>Tarifs conventionnels assurance maladie</v>
      </c>
      <c r="U2749" t="str">
        <f>"680013919"</f>
        <v>680013919</v>
      </c>
    </row>
    <row r="2750" spans="1:21" x14ac:dyDescent="0.3">
      <c r="A2750" t="str">
        <f>"490531050"</f>
        <v>490531050</v>
      </c>
      <c r="B2750" t="str">
        <f>"775 609 555 00153"</f>
        <v>775 609 555 00153</v>
      </c>
      <c r="D2750" t="str">
        <f>"CSI MADELEINE"</f>
        <v>CSI MADELEINE</v>
      </c>
      <c r="F2750" t="str">
        <f>"22 RUE ANNE FRANCK"</f>
        <v>22 RUE ANNE FRANCK</v>
      </c>
      <c r="H2750" t="str">
        <f>"49100"</f>
        <v>49100</v>
      </c>
      <c r="I2750" t="str">
        <f>"ANGERS"</f>
        <v>ANGERS</v>
      </c>
      <c r="J2750" t="str">
        <f>"02 41 43 80 72 "</f>
        <v xml:space="preserve">02 41 43 80 72 </v>
      </c>
      <c r="L2750" s="1">
        <v>29117</v>
      </c>
      <c r="M2750" t="str">
        <f t="shared" si="399"/>
        <v>124</v>
      </c>
      <c r="N2750" t="str">
        <f t="shared" si="400"/>
        <v>Centre de Santé</v>
      </c>
      <c r="O2750" t="str">
        <f>"60"</f>
        <v>60</v>
      </c>
      <c r="P2750" t="str">
        <f>"Association Loi 1901 non Reconnue d'Utilité Publique"</f>
        <v>Association Loi 1901 non Reconnue d'Utilité Publique</v>
      </c>
      <c r="Q2750" t="str">
        <f t="shared" si="401"/>
        <v>36</v>
      </c>
      <c r="R2750" t="str">
        <f t="shared" si="402"/>
        <v>Tarifs conventionnels assurance maladie</v>
      </c>
      <c r="U2750" t="str">
        <f>"490535663"</f>
        <v>490535663</v>
      </c>
    </row>
    <row r="2751" spans="1:21" x14ac:dyDescent="0.3">
      <c r="A2751" t="str">
        <f>"440011765"</f>
        <v>440011765</v>
      </c>
      <c r="B2751" t="str">
        <f>"264 400 326 00122"</f>
        <v>264 400 326 00122</v>
      </c>
      <c r="D2751" t="str">
        <f>"CENTRE DE SOINS INFIRMIERS DU CCAS"</f>
        <v>CENTRE DE SOINS INFIRMIERS DU CCAS</v>
      </c>
      <c r="F2751" t="str">
        <f>"9 ESPLANADE DES TERRASSES"</f>
        <v>9 ESPLANADE DES TERRASSES</v>
      </c>
      <c r="H2751" t="str">
        <f>"44110"</f>
        <v>44110</v>
      </c>
      <c r="I2751" t="str">
        <f>"CHATEAUBRIANT"</f>
        <v>CHATEAUBRIANT</v>
      </c>
      <c r="J2751" t="str">
        <f>"02 40 28 11 53 "</f>
        <v xml:space="preserve">02 40 28 11 53 </v>
      </c>
      <c r="L2751" s="1">
        <v>29099</v>
      </c>
      <c r="M2751" t="str">
        <f t="shared" si="399"/>
        <v>124</v>
      </c>
      <c r="N2751" t="str">
        <f t="shared" si="400"/>
        <v>Centre de Santé</v>
      </c>
      <c r="O2751" t="str">
        <f>"17"</f>
        <v>17</v>
      </c>
      <c r="P2751" t="str">
        <f>"Centre Communal d'Action Sociale"</f>
        <v>Centre Communal d'Action Sociale</v>
      </c>
      <c r="Q2751" t="str">
        <f t="shared" si="401"/>
        <v>36</v>
      </c>
      <c r="R2751" t="str">
        <f t="shared" si="402"/>
        <v>Tarifs conventionnels assurance maladie</v>
      </c>
      <c r="U2751" t="str">
        <f>"440018513"</f>
        <v>440018513</v>
      </c>
    </row>
    <row r="2752" spans="1:21" x14ac:dyDescent="0.3">
      <c r="A2752" t="str">
        <f>"120782222"</f>
        <v>120782222</v>
      </c>
      <c r="B2752" t="str">
        <f>"442 491 197 00343"</f>
        <v>442 491 197 00343</v>
      </c>
      <c r="D2752" t="str">
        <f>"CTRE SOINS INFIRMIERS MILLAU UDSMA"</f>
        <v>CTRE SOINS INFIRMIERS MILLAU UDSMA</v>
      </c>
      <c r="F2752" t="str">
        <f>"6221 AVENUE DU LANGUEDOC"</f>
        <v>6221 AVENUE DU LANGUEDOC</v>
      </c>
      <c r="H2752" t="str">
        <f>"12100"</f>
        <v>12100</v>
      </c>
      <c r="I2752" t="str">
        <f>"MILLAU"</f>
        <v>MILLAU</v>
      </c>
      <c r="J2752" t="str">
        <f>"05 65 73 59 11 "</f>
        <v xml:space="preserve">05 65 73 59 11 </v>
      </c>
      <c r="K2752" t="str">
        <f>"05 65 61 14 51"</f>
        <v>05 65 61 14 51</v>
      </c>
      <c r="L2752" s="1">
        <v>29068</v>
      </c>
      <c r="M2752" t="str">
        <f t="shared" si="399"/>
        <v>124</v>
      </c>
      <c r="N2752" t="str">
        <f t="shared" si="400"/>
        <v>Centre de Santé</v>
      </c>
      <c r="O2752" t="str">
        <f>"47"</f>
        <v>47</v>
      </c>
      <c r="P2752" t="str">
        <f>"Société Mutualiste"</f>
        <v>Société Mutualiste</v>
      </c>
      <c r="Q2752" t="str">
        <f t="shared" si="401"/>
        <v>36</v>
      </c>
      <c r="R2752" t="str">
        <f t="shared" si="402"/>
        <v>Tarifs conventionnels assurance maladie</v>
      </c>
      <c r="U2752" t="str">
        <f>"120784616"</f>
        <v>120784616</v>
      </c>
    </row>
    <row r="2753" spans="1:21" x14ac:dyDescent="0.3">
      <c r="A2753" t="str">
        <f>"590781001"</f>
        <v>590781001</v>
      </c>
      <c r="B2753" t="str">
        <f>"317 481 745 00022"</f>
        <v>317 481 745 00022</v>
      </c>
      <c r="D2753" t="str">
        <f>"CENTRE SOINS INF. ST-GABRIEL"</f>
        <v>CENTRE SOINS INF. ST-GABRIEL</v>
      </c>
      <c r="F2753" t="str">
        <f>"87 RUE SAINT-GABRIEL"</f>
        <v>87 RUE SAINT-GABRIEL</v>
      </c>
      <c r="H2753" t="str">
        <f>"59800"</f>
        <v>59800</v>
      </c>
      <c r="I2753" t="str">
        <f>"LILLE"</f>
        <v>LILLE</v>
      </c>
      <c r="J2753" t="str">
        <f>"03 20 06 00 20 "</f>
        <v xml:space="preserve">03 20 06 00 20 </v>
      </c>
      <c r="L2753" s="1">
        <v>29056</v>
      </c>
      <c r="M2753" t="str">
        <f t="shared" si="399"/>
        <v>124</v>
      </c>
      <c r="N2753" t="str">
        <f t="shared" si="400"/>
        <v>Centre de Santé</v>
      </c>
      <c r="O2753" t="str">
        <f>"60"</f>
        <v>60</v>
      </c>
      <c r="P2753" t="str">
        <f>"Association Loi 1901 non Reconnue d'Utilité Publique"</f>
        <v>Association Loi 1901 non Reconnue d'Utilité Publique</v>
      </c>
      <c r="Q2753" t="str">
        <f t="shared" si="401"/>
        <v>36</v>
      </c>
      <c r="R2753" t="str">
        <f t="shared" si="402"/>
        <v>Tarifs conventionnels assurance maladie</v>
      </c>
      <c r="U2753" t="str">
        <f>"590000279"</f>
        <v>590000279</v>
      </c>
    </row>
    <row r="2754" spans="1:21" x14ac:dyDescent="0.3">
      <c r="A2754" t="str">
        <f>"590781266"</f>
        <v>590781266</v>
      </c>
      <c r="B2754" t="str">
        <f>"305 152 803 00014"</f>
        <v>305 152 803 00014</v>
      </c>
      <c r="D2754" t="str">
        <f>"CENTRE DE SOINS INFIRMIERS"</f>
        <v>CENTRE DE SOINS INFIRMIERS</v>
      </c>
      <c r="F2754" t="str">
        <f>"7 ALLEE JARDINS DE L'ABBAYE"</f>
        <v>7 ALLEE JARDINS DE L'ABBAYE</v>
      </c>
      <c r="H2754" t="str">
        <f>"59133"</f>
        <v>59133</v>
      </c>
      <c r="I2754" t="str">
        <f>"PHALEMPIN"</f>
        <v>PHALEMPIN</v>
      </c>
      <c r="J2754" t="str">
        <f>"03 20 90 23 38 "</f>
        <v xml:space="preserve">03 20 90 23 38 </v>
      </c>
      <c r="L2754" s="1">
        <v>29056</v>
      </c>
      <c r="M2754" t="str">
        <f t="shared" ref="M2754:M2817" si="403">"124"</f>
        <v>124</v>
      </c>
      <c r="N2754" t="str">
        <f t="shared" ref="N2754:N2817" si="404">"Centre de Santé"</f>
        <v>Centre de Santé</v>
      </c>
      <c r="O2754" t="str">
        <f>"60"</f>
        <v>60</v>
      </c>
      <c r="P2754" t="str">
        <f>"Association Loi 1901 non Reconnue d'Utilité Publique"</f>
        <v>Association Loi 1901 non Reconnue d'Utilité Publique</v>
      </c>
      <c r="Q2754" t="str">
        <f t="shared" si="401"/>
        <v>36</v>
      </c>
      <c r="R2754" t="str">
        <f t="shared" si="402"/>
        <v>Tarifs conventionnels assurance maladie</v>
      </c>
      <c r="U2754" t="str">
        <f>"590000303"</f>
        <v>590000303</v>
      </c>
    </row>
    <row r="2755" spans="1:21" x14ac:dyDescent="0.3">
      <c r="A2755" t="str">
        <f>"590783809"</f>
        <v>590783809</v>
      </c>
      <c r="B2755" t="str">
        <f>"305 448 789 00019"</f>
        <v>305 448 789 00019</v>
      </c>
      <c r="D2755" t="str">
        <f>"CENTRE DE SOINS INFIRMIERS"</f>
        <v>CENTRE DE SOINS INFIRMIERS</v>
      </c>
      <c r="F2755" t="str">
        <f>"9 RUE DU GENERAL DE GAULLE"</f>
        <v>9 RUE DU GENERAL DE GAULLE</v>
      </c>
      <c r="H2755" t="str">
        <f>"59115"</f>
        <v>59115</v>
      </c>
      <c r="I2755" t="str">
        <f>"LEERS"</f>
        <v>LEERS</v>
      </c>
      <c r="J2755" t="str">
        <f>"03 20 75 73 26 "</f>
        <v xml:space="preserve">03 20 75 73 26 </v>
      </c>
      <c r="L2755" s="1">
        <v>29056</v>
      </c>
      <c r="M2755" t="str">
        <f t="shared" si="403"/>
        <v>124</v>
      </c>
      <c r="N2755" t="str">
        <f t="shared" si="404"/>
        <v>Centre de Santé</v>
      </c>
      <c r="O2755" t="str">
        <f>"60"</f>
        <v>60</v>
      </c>
      <c r="P2755" t="str">
        <f>"Association Loi 1901 non Reconnue d'Utilité Publique"</f>
        <v>Association Loi 1901 non Reconnue d'Utilité Publique</v>
      </c>
      <c r="Q2755" t="str">
        <f t="shared" si="401"/>
        <v>36</v>
      </c>
      <c r="R2755" t="str">
        <f t="shared" si="402"/>
        <v>Tarifs conventionnels assurance maladie</v>
      </c>
      <c r="U2755" t="str">
        <f>"590001426"</f>
        <v>590001426</v>
      </c>
    </row>
    <row r="2756" spans="1:21" x14ac:dyDescent="0.3">
      <c r="A2756" t="str">
        <f>"120782248"</f>
        <v>120782248</v>
      </c>
      <c r="B2756" t="str">
        <f>"442 491 197 00368"</f>
        <v>442 491 197 00368</v>
      </c>
      <c r="D2756" t="str">
        <f>"CDS INF VILLEFRANCHE ROUERGUE UDSMA"</f>
        <v>CDS INF VILLEFRANCHE ROUERGUE UDSMA</v>
      </c>
      <c r="F2756" t="str">
        <f>"12 QUAI DU TEMPLE"</f>
        <v>12 QUAI DU TEMPLE</v>
      </c>
      <c r="H2756" t="str">
        <f>"12200"</f>
        <v>12200</v>
      </c>
      <c r="I2756" t="str">
        <f>"VILLEFRANCHE DE ROUERGUE"</f>
        <v>VILLEFRANCHE DE ROUERGUE</v>
      </c>
      <c r="J2756" t="str">
        <f>"05 65 65 18 04 "</f>
        <v xml:space="preserve">05 65 65 18 04 </v>
      </c>
      <c r="L2756" s="1">
        <v>29039</v>
      </c>
      <c r="M2756" t="str">
        <f t="shared" si="403"/>
        <v>124</v>
      </c>
      <c r="N2756" t="str">
        <f t="shared" si="404"/>
        <v>Centre de Santé</v>
      </c>
      <c r="O2756" t="str">
        <f>"47"</f>
        <v>47</v>
      </c>
      <c r="P2756" t="str">
        <f>"Société Mutualiste"</f>
        <v>Société Mutualiste</v>
      </c>
      <c r="Q2756" t="str">
        <f t="shared" si="401"/>
        <v>36</v>
      </c>
      <c r="R2756" t="str">
        <f t="shared" si="402"/>
        <v>Tarifs conventionnels assurance maladie</v>
      </c>
      <c r="U2756" t="str">
        <f>"120784616"</f>
        <v>120784616</v>
      </c>
    </row>
    <row r="2757" spans="1:21" x14ac:dyDescent="0.3">
      <c r="A2757" t="str">
        <f>"680002334"</f>
        <v>680002334</v>
      </c>
      <c r="B2757" t="str">
        <f>"317 164 689 00042"</f>
        <v>317 164 689 00042</v>
      </c>
      <c r="D2757" t="str">
        <f>"CTRE DE SOINS LUTTERBACH"</f>
        <v>CTRE DE SOINS LUTTERBACH</v>
      </c>
      <c r="F2757" t="str">
        <f>"8 RUE DU MARECHAL FOCH"</f>
        <v>8 RUE DU MARECHAL FOCH</v>
      </c>
      <c r="H2757" t="str">
        <f>"68460"</f>
        <v>68460</v>
      </c>
      <c r="I2757" t="str">
        <f>"LUTTERBACH"</f>
        <v>LUTTERBACH</v>
      </c>
      <c r="J2757" t="str">
        <f>"03 89 52 35 16 "</f>
        <v xml:space="preserve">03 89 52 35 16 </v>
      </c>
      <c r="K2757" t="str">
        <f>"03 89 53 45 06"</f>
        <v>03 89 53 45 06</v>
      </c>
      <c r="L2757" s="1">
        <v>29037</v>
      </c>
      <c r="M2757" t="str">
        <f t="shared" si="403"/>
        <v>124</v>
      </c>
      <c r="N2757" t="str">
        <f t="shared" si="404"/>
        <v>Centre de Santé</v>
      </c>
      <c r="O2757" t="str">
        <f>"62"</f>
        <v>62</v>
      </c>
      <c r="P2757" t="str">
        <f>"Association de Droit Local"</f>
        <v>Association de Droit Local</v>
      </c>
      <c r="Q2757" t="str">
        <f t="shared" si="401"/>
        <v>36</v>
      </c>
      <c r="R2757" t="str">
        <f t="shared" si="402"/>
        <v>Tarifs conventionnels assurance maladie</v>
      </c>
      <c r="U2757" t="str">
        <f>"680013919"</f>
        <v>680013919</v>
      </c>
    </row>
    <row r="2758" spans="1:21" x14ac:dyDescent="0.3">
      <c r="A2758" t="str">
        <f>"220017990"</f>
        <v>220017990</v>
      </c>
      <c r="B2758" t="str">
        <f>"318 110 780 00034"</f>
        <v>318 110 780 00034</v>
      </c>
      <c r="D2758" t="str">
        <f>"CDS INFIRMIER DE TREGUEUX"</f>
        <v>CDS INFIRMIER DE TREGUEUX</v>
      </c>
      <c r="F2758" t="str">
        <f>"2 PLACE FRANÇOIS MITTERRAND"</f>
        <v>2 PLACE FRANÇOIS MITTERRAND</v>
      </c>
      <c r="H2758" t="str">
        <f>"22950"</f>
        <v>22950</v>
      </c>
      <c r="I2758" t="str">
        <f>"TREGUEUX"</f>
        <v>TREGUEUX</v>
      </c>
      <c r="J2758" t="str">
        <f>"02 96 71 28 50 "</f>
        <v xml:space="preserve">02 96 71 28 50 </v>
      </c>
      <c r="K2758" t="str">
        <f>"02 96 71 03 13"</f>
        <v>02 96 71 03 13</v>
      </c>
      <c r="L2758" s="1">
        <v>29032</v>
      </c>
      <c r="M2758" t="str">
        <f t="shared" si="403"/>
        <v>124</v>
      </c>
      <c r="N2758" t="str">
        <f t="shared" si="404"/>
        <v>Centre de Santé</v>
      </c>
      <c r="O2758" t="str">
        <f>"60"</f>
        <v>60</v>
      </c>
      <c r="P2758" t="str">
        <f>"Association Loi 1901 non Reconnue d'Utilité Publique"</f>
        <v>Association Loi 1901 non Reconnue d'Utilité Publique</v>
      </c>
      <c r="Q2758" t="str">
        <f t="shared" si="401"/>
        <v>36</v>
      </c>
      <c r="R2758" t="str">
        <f t="shared" si="402"/>
        <v>Tarifs conventionnels assurance maladie</v>
      </c>
      <c r="U2758" t="str">
        <f>"220021265"</f>
        <v>220021265</v>
      </c>
    </row>
    <row r="2759" spans="1:21" x14ac:dyDescent="0.3">
      <c r="A2759" t="str">
        <f>"290006261"</f>
        <v>290006261</v>
      </c>
      <c r="B2759" t="str">
        <f>"315 883 298 00012"</f>
        <v>315 883 298 00012</v>
      </c>
      <c r="D2759" t="str">
        <f>"CDS INFIRMIER BRIEC"</f>
        <v>CDS INFIRMIER BRIEC</v>
      </c>
      <c r="F2759" t="str">
        <f>"9 RUE DE LA RESISTANCE"</f>
        <v>9 RUE DE LA RESISTANCE</v>
      </c>
      <c r="H2759" t="str">
        <f>"29510"</f>
        <v>29510</v>
      </c>
      <c r="I2759" t="str">
        <f>"BRIEC"</f>
        <v>BRIEC</v>
      </c>
      <c r="J2759" t="str">
        <f>"02 98 57 93 23 "</f>
        <v xml:space="preserve">02 98 57 93 23 </v>
      </c>
      <c r="L2759" s="1">
        <v>29032</v>
      </c>
      <c r="M2759" t="str">
        <f t="shared" si="403"/>
        <v>124</v>
      </c>
      <c r="N2759" t="str">
        <f t="shared" si="404"/>
        <v>Centre de Santé</v>
      </c>
      <c r="O2759" t="str">
        <f>"64"</f>
        <v>64</v>
      </c>
      <c r="P2759" t="str">
        <f>"Congrégation"</f>
        <v>Congrégation</v>
      </c>
      <c r="Q2759" t="str">
        <f t="shared" si="401"/>
        <v>36</v>
      </c>
      <c r="R2759" t="str">
        <f t="shared" si="402"/>
        <v>Tarifs conventionnels assurance maladie</v>
      </c>
      <c r="U2759" t="str">
        <f>"290001346"</f>
        <v>290001346</v>
      </c>
    </row>
    <row r="2760" spans="1:21" x14ac:dyDescent="0.3">
      <c r="A2760" t="str">
        <f>"250011301"</f>
        <v>250011301</v>
      </c>
      <c r="B2760" t="str">
        <f>"410 623 664 00068"</f>
        <v>410 623 664 00068</v>
      </c>
      <c r="D2760" t="str">
        <f>"CENTRE SOINS INFIRMIERS PONT DE ROIDE"</f>
        <v>CENTRE SOINS INFIRMIERS PONT DE ROIDE</v>
      </c>
      <c r="F2760" t="str">
        <f>"3 RUE DE LA RESISTANCE"</f>
        <v>3 RUE DE LA RESISTANCE</v>
      </c>
      <c r="H2760" t="str">
        <f>"25150"</f>
        <v>25150</v>
      </c>
      <c r="I2760" t="str">
        <f>"PONT DE ROIDE VERMONDANS"</f>
        <v>PONT DE ROIDE VERMONDANS</v>
      </c>
      <c r="J2760" t="str">
        <f>"03 81 92 41 09 "</f>
        <v xml:space="preserve">03 81 92 41 09 </v>
      </c>
      <c r="K2760" t="str">
        <f>"03 81 92 22 65"</f>
        <v>03 81 92 22 65</v>
      </c>
      <c r="L2760" s="1">
        <v>29028</v>
      </c>
      <c r="M2760" t="str">
        <f t="shared" si="403"/>
        <v>124</v>
      </c>
      <c r="N2760" t="str">
        <f t="shared" si="404"/>
        <v>Centre de Santé</v>
      </c>
      <c r="O2760" t="str">
        <f>"60"</f>
        <v>60</v>
      </c>
      <c r="P2760" t="str">
        <f>"Association Loi 1901 non Reconnue d'Utilité Publique"</f>
        <v>Association Loi 1901 non Reconnue d'Utilité Publique</v>
      </c>
      <c r="Q2760" t="str">
        <f t="shared" si="401"/>
        <v>36</v>
      </c>
      <c r="R2760" t="str">
        <f t="shared" si="402"/>
        <v>Tarifs conventionnels assurance maladie</v>
      </c>
      <c r="U2760" t="str">
        <f>"250001716"</f>
        <v>250001716</v>
      </c>
    </row>
    <row r="2761" spans="1:21" x14ac:dyDescent="0.3">
      <c r="A2761" t="str">
        <f>"250013711"</f>
        <v>250013711</v>
      </c>
      <c r="B2761" t="str">
        <f>"410 623 664 00076"</f>
        <v>410 623 664 00076</v>
      </c>
      <c r="D2761" t="str">
        <f>"CENTRE SOINS INFIRMIERS SANCEY"</f>
        <v>CENTRE SOINS INFIRMIERS SANCEY</v>
      </c>
      <c r="F2761" t="str">
        <f>"1 IMPASSE SOUS LES CHENES"</f>
        <v>1 IMPASSE SOUS LES CHENES</v>
      </c>
      <c r="H2761" t="str">
        <f>"25430"</f>
        <v>25430</v>
      </c>
      <c r="I2761" t="str">
        <f>"SANCEY"</f>
        <v>SANCEY</v>
      </c>
      <c r="J2761" t="str">
        <f>"03 81 86 82 02 "</f>
        <v xml:space="preserve">03 81 86 82 02 </v>
      </c>
      <c r="K2761" t="str">
        <f>"03 81 86 31 98"</f>
        <v>03 81 86 31 98</v>
      </c>
      <c r="L2761" s="1">
        <v>29028</v>
      </c>
      <c r="M2761" t="str">
        <f t="shared" si="403"/>
        <v>124</v>
      </c>
      <c r="N2761" t="str">
        <f t="shared" si="404"/>
        <v>Centre de Santé</v>
      </c>
      <c r="O2761" t="str">
        <f>"60"</f>
        <v>60</v>
      </c>
      <c r="P2761" t="str">
        <f>"Association Loi 1901 non Reconnue d'Utilité Publique"</f>
        <v>Association Loi 1901 non Reconnue d'Utilité Publique</v>
      </c>
      <c r="Q2761" t="str">
        <f t="shared" si="401"/>
        <v>36</v>
      </c>
      <c r="R2761" t="str">
        <f t="shared" si="402"/>
        <v>Tarifs conventionnels assurance maladie</v>
      </c>
      <c r="U2761" t="str">
        <f>"250001716"</f>
        <v>250001716</v>
      </c>
    </row>
    <row r="2762" spans="1:21" x14ac:dyDescent="0.3">
      <c r="A2762" t="str">
        <f>"850009309"</f>
        <v>850009309</v>
      </c>
      <c r="B2762" t="str">
        <f>"316 781 475 00066"</f>
        <v>316 781 475 00066</v>
      </c>
      <c r="D2762" t="str">
        <f>"CENTRE DE SANTE INFIRMIER ADMR"</f>
        <v>CENTRE DE SANTE INFIRMIER ADMR</v>
      </c>
      <c r="F2762" t="str">
        <f>"1 PLACE CLEMENT V"</f>
        <v>1 PLACE CLEMENT V</v>
      </c>
      <c r="H2762" t="str">
        <f>"85510"</f>
        <v>85510</v>
      </c>
      <c r="I2762" t="str">
        <f>"LE BOUPERE"</f>
        <v>LE BOUPERE</v>
      </c>
      <c r="J2762" t="str">
        <f>"02 51 91 44 83 "</f>
        <v xml:space="preserve">02 51 91 44 83 </v>
      </c>
      <c r="L2762" s="1">
        <v>29026</v>
      </c>
      <c r="M2762" t="str">
        <f t="shared" si="403"/>
        <v>124</v>
      </c>
      <c r="N2762" t="str">
        <f t="shared" si="404"/>
        <v>Centre de Santé</v>
      </c>
      <c r="O2762" t="str">
        <f>"60"</f>
        <v>60</v>
      </c>
      <c r="P2762" t="str">
        <f>"Association Loi 1901 non Reconnue d'Utilité Publique"</f>
        <v>Association Loi 1901 non Reconnue d'Utilité Publique</v>
      </c>
      <c r="Q2762" t="str">
        <f t="shared" si="401"/>
        <v>36</v>
      </c>
      <c r="R2762" t="str">
        <f t="shared" si="402"/>
        <v>Tarifs conventionnels assurance maladie</v>
      </c>
      <c r="U2762" t="str">
        <f>"850013160"</f>
        <v>850013160</v>
      </c>
    </row>
    <row r="2763" spans="1:21" x14ac:dyDescent="0.3">
      <c r="A2763" t="str">
        <f>"850011131"</f>
        <v>850011131</v>
      </c>
      <c r="B2763" t="str">
        <f>"330 763 582 00054"</f>
        <v>330 763 582 00054</v>
      </c>
      <c r="D2763" t="str">
        <f>"CSI LES LUCS SUR BOULOGNE"</f>
        <v>CSI LES LUCS SUR BOULOGNE</v>
      </c>
      <c r="E2763" t="str">
        <f>"POLE DE SANTE"</f>
        <v>POLE DE SANTE</v>
      </c>
      <c r="F2763" t="str">
        <f>"RUE DES PRES BARBAIS"</f>
        <v>RUE DES PRES BARBAIS</v>
      </c>
      <c r="H2763" t="str">
        <f>"85170"</f>
        <v>85170</v>
      </c>
      <c r="I2763" t="str">
        <f>"LES LUCS SUR BOULOGNE"</f>
        <v>LES LUCS SUR BOULOGNE</v>
      </c>
      <c r="J2763" t="str">
        <f>"02 51 46 50 22 "</f>
        <v xml:space="preserve">02 51 46 50 22 </v>
      </c>
      <c r="L2763" s="1">
        <v>29026</v>
      </c>
      <c r="M2763" t="str">
        <f t="shared" si="403"/>
        <v>124</v>
      </c>
      <c r="N2763" t="str">
        <f t="shared" si="404"/>
        <v>Centre de Santé</v>
      </c>
      <c r="O2763" t="str">
        <f>"60"</f>
        <v>60</v>
      </c>
      <c r="P2763" t="str">
        <f>"Association Loi 1901 non Reconnue d'Utilité Publique"</f>
        <v>Association Loi 1901 non Reconnue d'Utilité Publique</v>
      </c>
      <c r="Q2763" t="str">
        <f t="shared" si="401"/>
        <v>36</v>
      </c>
      <c r="R2763" t="str">
        <f t="shared" si="402"/>
        <v>Tarifs conventionnels assurance maladie</v>
      </c>
      <c r="U2763" t="str">
        <f>"850000613"</f>
        <v>850000613</v>
      </c>
    </row>
    <row r="2764" spans="1:21" x14ac:dyDescent="0.3">
      <c r="A2764" t="str">
        <f>"140000803"</f>
        <v>140000803</v>
      </c>
      <c r="B2764" t="str">
        <f>"794 994 277 02089"</f>
        <v>794 994 277 02089</v>
      </c>
      <c r="D2764" t="str">
        <f>"CENTRE DE SOINS INFIRMIERS"</f>
        <v>CENTRE DE SOINS INFIRMIERS</v>
      </c>
      <c r="F2764" t="str">
        <f>"58 AVENUE DE LA GRANDE CAVEE"</f>
        <v>58 AVENUE DE LA GRANDE CAVEE</v>
      </c>
      <c r="H2764" t="str">
        <f>"14200"</f>
        <v>14200</v>
      </c>
      <c r="I2764" t="str">
        <f>"HEROUVILLE ST CLAIR"</f>
        <v>HEROUVILLE ST CLAIR</v>
      </c>
      <c r="J2764" t="str">
        <f>"02 31 44 76 23 "</f>
        <v xml:space="preserve">02 31 44 76 23 </v>
      </c>
      <c r="K2764" t="str">
        <f>"02 31 34 58 86"</f>
        <v>02 31 34 58 86</v>
      </c>
      <c r="L2764" s="1">
        <v>29025</v>
      </c>
      <c r="M2764" t="str">
        <f t="shared" si="403"/>
        <v>124</v>
      </c>
      <c r="N2764" t="str">
        <f t="shared" si="404"/>
        <v>Centre de Santé</v>
      </c>
      <c r="O2764" t="str">
        <f>"47"</f>
        <v>47</v>
      </c>
      <c r="P2764" t="str">
        <f>"Société Mutualiste"</f>
        <v>Société Mutualiste</v>
      </c>
      <c r="Q2764" t="str">
        <f t="shared" si="401"/>
        <v>36</v>
      </c>
      <c r="R2764" t="str">
        <f t="shared" si="402"/>
        <v>Tarifs conventionnels assurance maladie</v>
      </c>
      <c r="U2764" t="str">
        <f>"760000539"</f>
        <v>760000539</v>
      </c>
    </row>
    <row r="2765" spans="1:21" x14ac:dyDescent="0.3">
      <c r="A2765" t="str">
        <f>"680000858"</f>
        <v>680000858</v>
      </c>
      <c r="B2765" t="str">
        <f>"316 754 258 00044"</f>
        <v>316 754 258 00044</v>
      </c>
      <c r="D2765" t="str">
        <f>"CTRE SOINS INF STE MARIE MINES"</f>
        <v>CTRE SOINS INF STE MARIE MINES</v>
      </c>
      <c r="F2765" t="str">
        <f>"159 RUE DE LATTRE DE TASSIGNY"</f>
        <v>159 RUE DE LATTRE DE TASSIGNY</v>
      </c>
      <c r="H2765" t="str">
        <f>"68160"</f>
        <v>68160</v>
      </c>
      <c r="I2765" t="str">
        <f>"STE MARIE AUX MINES"</f>
        <v>STE MARIE AUX MINES</v>
      </c>
      <c r="J2765" t="str">
        <f>"03 89 58 72 43 "</f>
        <v xml:space="preserve">03 89 58 72 43 </v>
      </c>
      <c r="K2765" t="str">
        <f>"03 89 58 68 99"</f>
        <v>03 89 58 68 99</v>
      </c>
      <c r="L2765" s="1">
        <v>29021</v>
      </c>
      <c r="M2765" t="str">
        <f t="shared" si="403"/>
        <v>124</v>
      </c>
      <c r="N2765" t="str">
        <f t="shared" si="404"/>
        <v>Centre de Santé</v>
      </c>
      <c r="O2765" t="str">
        <f>"62"</f>
        <v>62</v>
      </c>
      <c r="P2765" t="str">
        <f>"Association de Droit Local"</f>
        <v>Association de Droit Local</v>
      </c>
      <c r="Q2765" t="str">
        <f t="shared" si="401"/>
        <v>36</v>
      </c>
      <c r="R2765" t="str">
        <f t="shared" si="402"/>
        <v>Tarifs conventionnels assurance maladie</v>
      </c>
      <c r="U2765" t="str">
        <f>"680013307"</f>
        <v>680013307</v>
      </c>
    </row>
    <row r="2766" spans="1:21" x14ac:dyDescent="0.3">
      <c r="A2766" t="str">
        <f>"120782255"</f>
        <v>120782255</v>
      </c>
      <c r="B2766" t="str">
        <f>"442 491 197 00681"</f>
        <v>442 491 197 00681</v>
      </c>
      <c r="D2766" t="str">
        <f>"CTRE SOINS INF ST SERNIN RANCE UDSMA"</f>
        <v>CTRE SOINS INF ST SERNIN RANCE UDSMA</v>
      </c>
      <c r="F2766" t="str">
        <f>"20 AVENUE D'ALBI"</f>
        <v>20 AVENUE D'ALBI</v>
      </c>
      <c r="H2766" t="str">
        <f>"12380"</f>
        <v>12380</v>
      </c>
      <c r="I2766" t="str">
        <f>"ST SERNIN SUR RANCE"</f>
        <v>ST SERNIN SUR RANCE</v>
      </c>
      <c r="J2766" t="str">
        <f>"05 65 99 65 70 "</f>
        <v xml:space="preserve">05 65 99 65 70 </v>
      </c>
      <c r="L2766" s="1">
        <v>29017</v>
      </c>
      <c r="M2766" t="str">
        <f t="shared" si="403"/>
        <v>124</v>
      </c>
      <c r="N2766" t="str">
        <f t="shared" si="404"/>
        <v>Centre de Santé</v>
      </c>
      <c r="O2766" t="str">
        <f>"47"</f>
        <v>47</v>
      </c>
      <c r="P2766" t="str">
        <f>"Société Mutualiste"</f>
        <v>Société Mutualiste</v>
      </c>
      <c r="Q2766" t="str">
        <f t="shared" si="401"/>
        <v>36</v>
      </c>
      <c r="R2766" t="str">
        <f t="shared" si="402"/>
        <v>Tarifs conventionnels assurance maladie</v>
      </c>
      <c r="U2766" t="str">
        <f>"120784616"</f>
        <v>120784616</v>
      </c>
    </row>
    <row r="2767" spans="1:21" x14ac:dyDescent="0.3">
      <c r="A2767" t="str">
        <f>"490531175"</f>
        <v>490531175</v>
      </c>
      <c r="B2767" t="str">
        <f>"320 367 980 00010"</f>
        <v>320 367 980 00010</v>
      </c>
      <c r="D2767" t="str">
        <f>"CENTRE DE SOINS INFIRMIERS"</f>
        <v>CENTRE DE SOINS INFIRMIERS</v>
      </c>
      <c r="F2767" t="str">
        <f>"22 RUE DE L'HOTEL DE VILLE"</f>
        <v>22 RUE DE L'HOTEL DE VILLE</v>
      </c>
      <c r="G2767" t="str">
        <f>"COMBREE"</f>
        <v>COMBREE</v>
      </c>
      <c r="H2767" t="str">
        <f>"49520"</f>
        <v>49520</v>
      </c>
      <c r="I2767" t="str">
        <f>"OMBREE D ANJOU"</f>
        <v>OMBREE D ANJOU</v>
      </c>
      <c r="J2767" t="str">
        <f>"02 41 94 23 23 "</f>
        <v xml:space="preserve">02 41 94 23 23 </v>
      </c>
      <c r="L2767" s="1">
        <v>29014</v>
      </c>
      <c r="M2767" t="str">
        <f t="shared" si="403"/>
        <v>124</v>
      </c>
      <c r="N2767" t="str">
        <f t="shared" si="404"/>
        <v>Centre de Santé</v>
      </c>
      <c r="O2767" t="str">
        <f>"60"</f>
        <v>60</v>
      </c>
      <c r="P2767" t="str">
        <f>"Association Loi 1901 non Reconnue d'Utilité Publique"</f>
        <v>Association Loi 1901 non Reconnue d'Utilité Publique</v>
      </c>
      <c r="Q2767" t="str">
        <f t="shared" si="401"/>
        <v>36</v>
      </c>
      <c r="R2767" t="str">
        <f t="shared" si="402"/>
        <v>Tarifs conventionnels assurance maladie</v>
      </c>
      <c r="U2767" t="str">
        <f>"490534997"</f>
        <v>490534997</v>
      </c>
    </row>
    <row r="2768" spans="1:21" x14ac:dyDescent="0.3">
      <c r="A2768" t="str">
        <f>"670781632"</f>
        <v>670781632</v>
      </c>
      <c r="B2768" t="str">
        <f>"775 641 731 00291"</f>
        <v>775 641 731 00291</v>
      </c>
      <c r="D2768" t="str">
        <f>"CSI DES DIACONESSES HAUTEPIERRE"</f>
        <v>CSI DES DIACONESSES HAUTEPIERRE</v>
      </c>
      <c r="F2768" t="str">
        <f>"11 AVENUE FRANCOIS MITTERRAND"</f>
        <v>11 AVENUE FRANCOIS MITTERRAND</v>
      </c>
      <c r="H2768" t="str">
        <f>"67200"</f>
        <v>67200</v>
      </c>
      <c r="I2768" t="str">
        <f>"STRASBOURG"</f>
        <v>STRASBOURG</v>
      </c>
      <c r="J2768" t="str">
        <f>"03 88 26 26 10 "</f>
        <v xml:space="preserve">03 88 26 26 10 </v>
      </c>
      <c r="K2768" t="str">
        <f>"09 67 37 66 02"</f>
        <v>09 67 37 66 02</v>
      </c>
      <c r="L2768" s="1">
        <v>29013</v>
      </c>
      <c r="M2768" t="str">
        <f t="shared" si="403"/>
        <v>124</v>
      </c>
      <c r="N2768" t="str">
        <f t="shared" si="404"/>
        <v>Centre de Santé</v>
      </c>
      <c r="O2768" t="str">
        <f>"61"</f>
        <v>61</v>
      </c>
      <c r="P2768" t="str">
        <f>"Association Loi 1901 Reconnue d'Utilité Publique"</f>
        <v>Association Loi 1901 Reconnue d'Utilité Publique</v>
      </c>
      <c r="Q2768" t="str">
        <f t="shared" si="401"/>
        <v>36</v>
      </c>
      <c r="R2768" t="str">
        <f t="shared" si="402"/>
        <v>Tarifs conventionnels assurance maladie</v>
      </c>
      <c r="U2768" t="str">
        <f>"670000108"</f>
        <v>670000108</v>
      </c>
    </row>
    <row r="2769" spans="1:21" x14ac:dyDescent="0.3">
      <c r="A2769" t="str">
        <f>"220018030"</f>
        <v>220018030</v>
      </c>
      <c r="B2769" t="str">
        <f>"389 702 622 00025"</f>
        <v>389 702 622 00025</v>
      </c>
      <c r="D2769" t="str">
        <f>"CDS DE LA PROVIDENCE"</f>
        <v>CDS DE LA PROVIDENCE</v>
      </c>
      <c r="F2769" t="str">
        <f>"RUE DE KEREMARCH"</f>
        <v>RUE DE KEREMARCH</v>
      </c>
      <c r="H2769" t="str">
        <f>"22260"</f>
        <v>22260</v>
      </c>
      <c r="I2769" t="str">
        <f>"PONTRIEUX"</f>
        <v>PONTRIEUX</v>
      </c>
      <c r="J2769" t="str">
        <f>"02 96 95 64 79 "</f>
        <v xml:space="preserve">02 96 95 64 79 </v>
      </c>
      <c r="K2769" t="str">
        <f>"02 96 95 30 78"</f>
        <v>02 96 95 30 78</v>
      </c>
      <c r="L2769" s="1">
        <v>29007</v>
      </c>
      <c r="M2769" t="str">
        <f t="shared" si="403"/>
        <v>124</v>
      </c>
      <c r="N2769" t="str">
        <f t="shared" si="404"/>
        <v>Centre de Santé</v>
      </c>
      <c r="O2769" t="str">
        <f>"60"</f>
        <v>60</v>
      </c>
      <c r="P2769" t="str">
        <f>"Association Loi 1901 non Reconnue d'Utilité Publique"</f>
        <v>Association Loi 1901 non Reconnue d'Utilité Publique</v>
      </c>
      <c r="Q2769" t="str">
        <f t="shared" si="401"/>
        <v>36</v>
      </c>
      <c r="R2769" t="str">
        <f t="shared" si="402"/>
        <v>Tarifs conventionnels assurance maladie</v>
      </c>
      <c r="U2769" t="str">
        <f>"220018022"</f>
        <v>220018022</v>
      </c>
    </row>
    <row r="2770" spans="1:21" x14ac:dyDescent="0.3">
      <c r="A2770" t="str">
        <f>"170780332"</f>
        <v>170780332</v>
      </c>
      <c r="B2770" t="str">
        <f>"781 320 296 00168"</f>
        <v>781 320 296 00168</v>
      </c>
      <c r="D2770" t="str">
        <f>"CENTRE DE SANTE - ADMR"</f>
        <v>CENTRE DE SANTE - ADMR</v>
      </c>
      <c r="F2770" t="str">
        <f>"11 RUE DU GENERAL LECLERC"</f>
        <v>11 RUE DU GENERAL LECLERC</v>
      </c>
      <c r="H2770" t="str">
        <f>"17390"</f>
        <v>17390</v>
      </c>
      <c r="I2770" t="str">
        <f>"LA TREMBLADE"</f>
        <v>LA TREMBLADE</v>
      </c>
      <c r="J2770" t="str">
        <f>"05 46 36 05 31 "</f>
        <v xml:space="preserve">05 46 36 05 31 </v>
      </c>
      <c r="L2770" s="1">
        <v>28991</v>
      </c>
      <c r="M2770" t="str">
        <f t="shared" si="403"/>
        <v>124</v>
      </c>
      <c r="N2770" t="str">
        <f t="shared" si="404"/>
        <v>Centre de Santé</v>
      </c>
      <c r="O2770" t="str">
        <f>"60"</f>
        <v>60</v>
      </c>
      <c r="P2770" t="str">
        <f>"Association Loi 1901 non Reconnue d'Utilité Publique"</f>
        <v>Association Loi 1901 non Reconnue d'Utilité Publique</v>
      </c>
      <c r="Q2770" t="str">
        <f t="shared" si="401"/>
        <v>36</v>
      </c>
      <c r="R2770" t="str">
        <f t="shared" si="402"/>
        <v>Tarifs conventionnels assurance maladie</v>
      </c>
      <c r="U2770" t="str">
        <f>"170791883"</f>
        <v>170791883</v>
      </c>
    </row>
    <row r="2771" spans="1:21" x14ac:dyDescent="0.3">
      <c r="A2771" t="str">
        <f>"790002257"</f>
        <v>790002257</v>
      </c>
      <c r="B2771" t="str">
        <f>"781 343 231 00085"</f>
        <v>781 343 231 00085</v>
      </c>
      <c r="D2771" t="str">
        <f>"MELIORIS CENTRE DE SANTE DE LELLIS"</f>
        <v>MELIORIS CENTRE DE SANTE DE LELLIS</v>
      </c>
      <c r="F2771" t="str">
        <f>"9 RUE DES MERLONGES"</f>
        <v>9 RUE DES MERLONGES</v>
      </c>
      <c r="H2771" t="str">
        <f>"79170"</f>
        <v>79170</v>
      </c>
      <c r="I2771" t="str">
        <f>"BRIOUX SUR BOUTONNE"</f>
        <v>BRIOUX SUR BOUTONNE</v>
      </c>
      <c r="J2771" t="str">
        <f>"05 49 07 50 76 "</f>
        <v xml:space="preserve">05 49 07 50 76 </v>
      </c>
      <c r="L2771" s="1">
        <v>28991</v>
      </c>
      <c r="M2771" t="str">
        <f t="shared" si="403"/>
        <v>124</v>
      </c>
      <c r="N2771" t="str">
        <f t="shared" si="404"/>
        <v>Centre de Santé</v>
      </c>
      <c r="O2771" t="str">
        <f>"60"</f>
        <v>60</v>
      </c>
      <c r="P2771" t="str">
        <f>"Association Loi 1901 non Reconnue d'Utilité Publique"</f>
        <v>Association Loi 1901 non Reconnue d'Utilité Publique</v>
      </c>
      <c r="Q2771" t="str">
        <f t="shared" si="401"/>
        <v>36</v>
      </c>
      <c r="R2771" t="str">
        <f t="shared" si="402"/>
        <v>Tarifs conventionnels assurance maladie</v>
      </c>
      <c r="U2771" t="str">
        <f>"790002497"</f>
        <v>790002497</v>
      </c>
    </row>
    <row r="2772" spans="1:21" x14ac:dyDescent="0.3">
      <c r="A2772" t="str">
        <f>"120782966"</f>
        <v>120782966</v>
      </c>
      <c r="B2772" t="str">
        <f>"442 491 197 00103"</f>
        <v>442 491 197 00103</v>
      </c>
      <c r="D2772" t="str">
        <f>"CTRE SOINS INFIRMIERS RIGNAC UDSMA"</f>
        <v>CTRE SOINS INFIRMIERS RIGNAC UDSMA</v>
      </c>
      <c r="F2772" t="str">
        <f>"10 RUE DE LA MURAILLE"</f>
        <v>10 RUE DE LA MURAILLE</v>
      </c>
      <c r="H2772" t="str">
        <f>"12390"</f>
        <v>12390</v>
      </c>
      <c r="I2772" t="str">
        <f>"RIGNAC"</f>
        <v>RIGNAC</v>
      </c>
      <c r="J2772" t="str">
        <f>"05 65 64 54 65 "</f>
        <v xml:space="preserve">05 65 64 54 65 </v>
      </c>
      <c r="L2772" s="1">
        <v>28990</v>
      </c>
      <c r="M2772" t="str">
        <f t="shared" si="403"/>
        <v>124</v>
      </c>
      <c r="N2772" t="str">
        <f t="shared" si="404"/>
        <v>Centre de Santé</v>
      </c>
      <c r="O2772" t="str">
        <f>"47"</f>
        <v>47</v>
      </c>
      <c r="P2772" t="str">
        <f>"Société Mutualiste"</f>
        <v>Société Mutualiste</v>
      </c>
      <c r="Q2772" t="str">
        <f t="shared" si="401"/>
        <v>36</v>
      </c>
      <c r="R2772" t="str">
        <f t="shared" si="402"/>
        <v>Tarifs conventionnels assurance maladie</v>
      </c>
      <c r="U2772" t="str">
        <f>"120784616"</f>
        <v>120784616</v>
      </c>
    </row>
    <row r="2773" spans="1:21" x14ac:dyDescent="0.3">
      <c r="A2773" t="str">
        <f>"120783055"</f>
        <v>120783055</v>
      </c>
      <c r="B2773" t="str">
        <f>"442 491 197 00483"</f>
        <v>442 491 197 00483</v>
      </c>
      <c r="D2773" t="str">
        <f>"CTRE SOINS INFIRMIERS AUBIN UDSMA"</f>
        <v>CTRE SOINS INFIRMIERS AUBIN UDSMA</v>
      </c>
      <c r="E2773" t="str">
        <f>"MAISON DE SANTE"</f>
        <v>MAISON DE SANTE</v>
      </c>
      <c r="F2773" t="str">
        <f>"AVENUE FRANCOIS COGNE"</f>
        <v>AVENUE FRANCOIS COGNE</v>
      </c>
      <c r="H2773" t="str">
        <f>"12110"</f>
        <v>12110</v>
      </c>
      <c r="I2773" t="str">
        <f>"AUBIN"</f>
        <v>AUBIN</v>
      </c>
      <c r="J2773" t="str">
        <f>"05 65 63 25 94 "</f>
        <v xml:space="preserve">05 65 63 25 94 </v>
      </c>
      <c r="L2773" s="1">
        <v>28990</v>
      </c>
      <c r="M2773" t="str">
        <f t="shared" si="403"/>
        <v>124</v>
      </c>
      <c r="N2773" t="str">
        <f t="shared" si="404"/>
        <v>Centre de Santé</v>
      </c>
      <c r="O2773" t="str">
        <f>"47"</f>
        <v>47</v>
      </c>
      <c r="P2773" t="str">
        <f>"Société Mutualiste"</f>
        <v>Société Mutualiste</v>
      </c>
      <c r="Q2773" t="str">
        <f t="shared" si="401"/>
        <v>36</v>
      </c>
      <c r="R2773" t="str">
        <f t="shared" si="402"/>
        <v>Tarifs conventionnels assurance maladie</v>
      </c>
      <c r="U2773" t="str">
        <f>"120784616"</f>
        <v>120784616</v>
      </c>
    </row>
    <row r="2774" spans="1:21" x14ac:dyDescent="0.3">
      <c r="A2774" t="str">
        <f>"820002335"</f>
        <v>820002335</v>
      </c>
      <c r="B2774" t="str">
        <f>"310 037 098 00079"</f>
        <v>310 037 098 00079</v>
      </c>
      <c r="D2774" t="str">
        <f>"CDS PLURIPROFESSIONNEL APAS 82"</f>
        <v>CDS PLURIPROFESSIONNEL APAS 82</v>
      </c>
      <c r="F2774" t="str">
        <f>"34 BOULEVARD DU 4 SEPTEMBRE"</f>
        <v>34 BOULEVARD DU 4 SEPTEMBRE</v>
      </c>
      <c r="H2774" t="str">
        <f>"82100"</f>
        <v>82100</v>
      </c>
      <c r="I2774" t="str">
        <f>"CASTELSARRASIN"</f>
        <v>CASTELSARRASIN</v>
      </c>
      <c r="J2774" t="str">
        <f>"05 63 32 71 80 "</f>
        <v xml:space="preserve">05 63 32 71 80 </v>
      </c>
      <c r="K2774" t="str">
        <f>"05 63 32 71 88"</f>
        <v>05 63 32 71 88</v>
      </c>
      <c r="L2774" s="1">
        <v>28990</v>
      </c>
      <c r="M2774" t="str">
        <f t="shared" si="403"/>
        <v>124</v>
      </c>
      <c r="N2774" t="str">
        <f t="shared" si="404"/>
        <v>Centre de Santé</v>
      </c>
      <c r="O2774" t="str">
        <f>"60"</f>
        <v>60</v>
      </c>
      <c r="P2774" t="str">
        <f>"Association Loi 1901 non Reconnue d'Utilité Publique"</f>
        <v>Association Loi 1901 non Reconnue d'Utilité Publique</v>
      </c>
      <c r="Q2774" t="str">
        <f t="shared" si="401"/>
        <v>36</v>
      </c>
      <c r="R2774" t="str">
        <f t="shared" si="402"/>
        <v>Tarifs conventionnels assurance maladie</v>
      </c>
      <c r="U2774" t="str">
        <f>"820004596"</f>
        <v>820004596</v>
      </c>
    </row>
    <row r="2775" spans="1:21" x14ac:dyDescent="0.3">
      <c r="A2775" t="str">
        <f>"670782457"</f>
        <v>670782457</v>
      </c>
      <c r="B2775" t="str">
        <f>"408 090 116 00257"</f>
        <v>408 090 116 00257</v>
      </c>
      <c r="D2775" t="str">
        <f>"CTRE SOINS INFIRMIERS NIEDERBRONN"</f>
        <v>CTRE SOINS INFIRMIERS NIEDERBRONN</v>
      </c>
      <c r="F2775" t="str">
        <f>"4 RUE SOEUR E EPPINGER"</f>
        <v>4 RUE SOEUR E EPPINGER</v>
      </c>
      <c r="H2775" t="str">
        <f>"67110"</f>
        <v>67110</v>
      </c>
      <c r="I2775" t="str">
        <f>"NIEDERBRONN LES BAINS"</f>
        <v>NIEDERBRONN LES BAINS</v>
      </c>
      <c r="J2775" t="str">
        <f>"03 88 05 85 50 "</f>
        <v xml:space="preserve">03 88 05 85 50 </v>
      </c>
      <c r="L2775" s="1">
        <v>28985</v>
      </c>
      <c r="M2775" t="str">
        <f t="shared" si="403"/>
        <v>124</v>
      </c>
      <c r="N2775" t="str">
        <f t="shared" si="404"/>
        <v>Centre de Santé</v>
      </c>
      <c r="O2775" t="str">
        <f>"63"</f>
        <v>63</v>
      </c>
      <c r="P2775" t="str">
        <f>"Fondation"</f>
        <v>Fondation</v>
      </c>
      <c r="Q2775" t="str">
        <f t="shared" si="401"/>
        <v>36</v>
      </c>
      <c r="R2775" t="str">
        <f t="shared" si="402"/>
        <v>Tarifs conventionnels assurance maladie</v>
      </c>
      <c r="U2775" t="str">
        <f>"680015963"</f>
        <v>680015963</v>
      </c>
    </row>
    <row r="2776" spans="1:21" x14ac:dyDescent="0.3">
      <c r="A2776" t="str">
        <f>"350003083"</f>
        <v>350003083</v>
      </c>
      <c r="B2776" t="str">
        <f>"400 035 523 00028"</f>
        <v>400 035 523 00028</v>
      </c>
      <c r="D2776" t="str">
        <f>"CDS INFIRMIERS DE CANCALE"</f>
        <v>CDS INFIRMIERS DE CANCALE</v>
      </c>
      <c r="F2776" t="str">
        <f>"1 RUE D'ARNSTEIN"</f>
        <v>1 RUE D'ARNSTEIN</v>
      </c>
      <c r="H2776" t="str">
        <f>"35260"</f>
        <v>35260</v>
      </c>
      <c r="I2776" t="str">
        <f>"CANCALE"</f>
        <v>CANCALE</v>
      </c>
      <c r="J2776" t="str">
        <f>"02 99 89 60 37 "</f>
        <v xml:space="preserve">02 99 89 60 37 </v>
      </c>
      <c r="L2776" s="1">
        <v>28983</v>
      </c>
      <c r="M2776" t="str">
        <f t="shared" si="403"/>
        <v>124</v>
      </c>
      <c r="N2776" t="str">
        <f t="shared" si="404"/>
        <v>Centre de Santé</v>
      </c>
      <c r="O2776" t="str">
        <f>"61"</f>
        <v>61</v>
      </c>
      <c r="P2776" t="str">
        <f>"Association Loi 1901 Reconnue d'Utilité Publique"</f>
        <v>Association Loi 1901 Reconnue d'Utilité Publique</v>
      </c>
      <c r="Q2776" t="str">
        <f t="shared" si="401"/>
        <v>36</v>
      </c>
      <c r="R2776" t="str">
        <f t="shared" si="402"/>
        <v>Tarifs conventionnels assurance maladie</v>
      </c>
      <c r="U2776" t="str">
        <f>"350036240"</f>
        <v>350036240</v>
      </c>
    </row>
    <row r="2777" spans="1:21" x14ac:dyDescent="0.3">
      <c r="A2777" t="str">
        <f>"400781092"</f>
        <v>400781092</v>
      </c>
      <c r="B2777" t="str">
        <f>"330 772 823 00028"</f>
        <v>330 772 823 00028</v>
      </c>
      <c r="D2777" t="str">
        <f>"CENTRE DE SOINS INFIRMIERS"</f>
        <v>CENTRE DE SOINS INFIRMIERS</v>
      </c>
      <c r="F2777" t="str">
        <f>"2 RUE RENE VIELLE"</f>
        <v>2 RUE RENE VIELLE</v>
      </c>
      <c r="H2777" t="str">
        <f>"40270"</f>
        <v>40270</v>
      </c>
      <c r="I2777" t="str">
        <f>"GRENADE SUR L ADOUR"</f>
        <v>GRENADE SUR L ADOUR</v>
      </c>
      <c r="J2777" t="str">
        <f>"05 58 45 92 81 "</f>
        <v xml:space="preserve">05 58 45 92 81 </v>
      </c>
      <c r="K2777" t="str">
        <f>"05 58 45 90 49"</f>
        <v>05 58 45 90 49</v>
      </c>
      <c r="L2777" s="1">
        <v>28976</v>
      </c>
      <c r="M2777" t="str">
        <f t="shared" si="403"/>
        <v>124</v>
      </c>
      <c r="N2777" t="str">
        <f t="shared" si="404"/>
        <v>Centre de Santé</v>
      </c>
      <c r="O2777" t="str">
        <f>"60"</f>
        <v>60</v>
      </c>
      <c r="P2777" t="str">
        <f>"Association Loi 1901 non Reconnue d'Utilité Publique"</f>
        <v>Association Loi 1901 non Reconnue d'Utilité Publique</v>
      </c>
      <c r="Q2777" t="str">
        <f t="shared" si="401"/>
        <v>36</v>
      </c>
      <c r="R2777" t="str">
        <f t="shared" si="402"/>
        <v>Tarifs conventionnels assurance maladie</v>
      </c>
      <c r="U2777" t="str">
        <f>"400012076"</f>
        <v>400012076</v>
      </c>
    </row>
    <row r="2778" spans="1:21" x14ac:dyDescent="0.3">
      <c r="A2778" t="str">
        <f>"440025674"</f>
        <v>440025674</v>
      </c>
      <c r="B2778" t="str">
        <f>"316 225 051 00028"</f>
        <v>316 225 051 00028</v>
      </c>
      <c r="D2778" t="str">
        <f>"CSI SOIN SANTE"</f>
        <v>CSI SOIN SANTE</v>
      </c>
      <c r="F2778" t="str">
        <f>"12 RUE BLANDEAU"</f>
        <v>12 RUE BLANDEAU</v>
      </c>
      <c r="H2778" t="str">
        <f>"44320"</f>
        <v>44320</v>
      </c>
      <c r="I2778" t="str">
        <f>"ST PERE EN RETZ"</f>
        <v>ST PERE EN RETZ</v>
      </c>
      <c r="J2778" t="str">
        <f>"02 40 21 70 88 "</f>
        <v xml:space="preserve">02 40 21 70 88 </v>
      </c>
      <c r="K2778" t="str">
        <f>"02 40 21 81 86"</f>
        <v>02 40 21 81 86</v>
      </c>
      <c r="L2778" s="1">
        <v>28976</v>
      </c>
      <c r="M2778" t="str">
        <f t="shared" si="403"/>
        <v>124</v>
      </c>
      <c r="N2778" t="str">
        <f t="shared" si="404"/>
        <v>Centre de Santé</v>
      </c>
      <c r="O2778" t="str">
        <f>"60"</f>
        <v>60</v>
      </c>
      <c r="P2778" t="str">
        <f>"Association Loi 1901 non Reconnue d'Utilité Publique"</f>
        <v>Association Loi 1901 non Reconnue d'Utilité Publique</v>
      </c>
      <c r="Q2778" t="str">
        <f t="shared" si="401"/>
        <v>36</v>
      </c>
      <c r="R2778" t="str">
        <f t="shared" si="402"/>
        <v>Tarifs conventionnels assurance maladie</v>
      </c>
      <c r="U2778" t="str">
        <f>"440011716"</f>
        <v>440011716</v>
      </c>
    </row>
    <row r="2779" spans="1:21" x14ac:dyDescent="0.3">
      <c r="A2779" t="str">
        <f>"480780717"</f>
        <v>480780717</v>
      </c>
      <c r="B2779" t="str">
        <f>"451 668 271 00013"</f>
        <v>451 668 271 00013</v>
      </c>
      <c r="D2779" t="str">
        <f>"CDS INFIRMIER VALLEE DU LOT"</f>
        <v>CDS INFIRMIER VALLEE DU LOT</v>
      </c>
      <c r="F2779" t="str">
        <f>"1 BOULEVARD THEOPHILE ROUSSEL"</f>
        <v>1 BOULEVARD THEOPHILE ROUSSEL</v>
      </c>
      <c r="H2779" t="str">
        <f>"48000"</f>
        <v>48000</v>
      </c>
      <c r="I2779" t="str">
        <f>"MENDE"</f>
        <v>MENDE</v>
      </c>
      <c r="J2779" t="str">
        <f>"04 66 65 23 50 "</f>
        <v xml:space="preserve">04 66 65 23 50 </v>
      </c>
      <c r="L2779" s="1">
        <v>28976</v>
      </c>
      <c r="M2779" t="str">
        <f t="shared" si="403"/>
        <v>124</v>
      </c>
      <c r="N2779" t="str">
        <f t="shared" si="404"/>
        <v>Centre de Santé</v>
      </c>
      <c r="O2779" t="str">
        <f>"60"</f>
        <v>60</v>
      </c>
      <c r="P2779" t="str">
        <f>"Association Loi 1901 non Reconnue d'Utilité Publique"</f>
        <v>Association Loi 1901 non Reconnue d'Utilité Publique</v>
      </c>
      <c r="Q2779" t="str">
        <f t="shared" si="401"/>
        <v>36</v>
      </c>
      <c r="R2779" t="str">
        <f t="shared" si="402"/>
        <v>Tarifs conventionnels assurance maladie</v>
      </c>
      <c r="U2779" t="str">
        <f>"480783331"</f>
        <v>480783331</v>
      </c>
    </row>
    <row r="2780" spans="1:21" x14ac:dyDescent="0.3">
      <c r="A2780" t="str">
        <f>"670782671"</f>
        <v>670782671</v>
      </c>
      <c r="B2780" t="str">
        <f>"331 192 898 00061"</f>
        <v>331 192 898 00061</v>
      </c>
      <c r="D2780" t="str">
        <f>"CTRE SOINS INF.DE BETSCHDORF"</f>
        <v>CTRE SOINS INF.DE BETSCHDORF</v>
      </c>
      <c r="F2780" t="str">
        <f>"8 RUE DES POTIERS"</f>
        <v>8 RUE DES POTIERS</v>
      </c>
      <c r="H2780" t="str">
        <f>"67660"</f>
        <v>67660</v>
      </c>
      <c r="I2780" t="str">
        <f>"BETSCHDORF"</f>
        <v>BETSCHDORF</v>
      </c>
      <c r="J2780" t="str">
        <f>"03 88 54 42 89 "</f>
        <v xml:space="preserve">03 88 54 42 89 </v>
      </c>
      <c r="K2780" t="str">
        <f>"03 88 09 45 85"</f>
        <v>03 88 09 45 85</v>
      </c>
      <c r="L2780" s="1">
        <v>28976</v>
      </c>
      <c r="M2780" t="str">
        <f t="shared" si="403"/>
        <v>124</v>
      </c>
      <c r="N2780" t="str">
        <f t="shared" si="404"/>
        <v>Centre de Santé</v>
      </c>
      <c r="O2780" t="str">
        <f>"62"</f>
        <v>62</v>
      </c>
      <c r="P2780" t="str">
        <f>"Association de Droit Local"</f>
        <v>Association de Droit Local</v>
      </c>
      <c r="Q2780" t="str">
        <f t="shared" si="401"/>
        <v>36</v>
      </c>
      <c r="R2780" t="str">
        <f t="shared" si="402"/>
        <v>Tarifs conventionnels assurance maladie</v>
      </c>
      <c r="U2780" t="str">
        <f>"670003599"</f>
        <v>670003599</v>
      </c>
    </row>
    <row r="2781" spans="1:21" x14ac:dyDescent="0.3">
      <c r="A2781" t="str">
        <f>"490531126"</f>
        <v>490531126</v>
      </c>
      <c r="B2781" t="str">
        <f>"753 759 794 00013"</f>
        <v>753 759 794 00013</v>
      </c>
      <c r="D2781" t="str">
        <f>"CENTRE DE SOINS POLYVALENT RAPHAEL"</f>
        <v>CENTRE DE SOINS POLYVALENT RAPHAEL</v>
      </c>
      <c r="F2781" t="str">
        <f>"82 RUE NATIONALE"</f>
        <v>82 RUE NATIONALE</v>
      </c>
      <c r="G2781" t="str">
        <f>"TORFOU"</f>
        <v>TORFOU</v>
      </c>
      <c r="H2781" t="str">
        <f>"49660"</f>
        <v>49660</v>
      </c>
      <c r="I2781" t="str">
        <f>"SEVREMOINE"</f>
        <v>SEVREMOINE</v>
      </c>
      <c r="J2781" t="str">
        <f>"02 41 46 54 25 "</f>
        <v xml:space="preserve">02 41 46 54 25 </v>
      </c>
      <c r="L2781" s="1">
        <v>28970</v>
      </c>
      <c r="M2781" t="str">
        <f t="shared" si="403"/>
        <v>124</v>
      </c>
      <c r="N2781" t="str">
        <f t="shared" si="404"/>
        <v>Centre de Santé</v>
      </c>
      <c r="O2781" t="str">
        <f t="shared" ref="O2781:O2788" si="405">"60"</f>
        <v>60</v>
      </c>
      <c r="P2781" t="str">
        <f t="shared" ref="P2781:P2788" si="406">"Association Loi 1901 non Reconnue d'Utilité Publique"</f>
        <v>Association Loi 1901 non Reconnue d'Utilité Publique</v>
      </c>
      <c r="Q2781" t="str">
        <f t="shared" si="401"/>
        <v>36</v>
      </c>
      <c r="R2781" t="str">
        <f t="shared" si="402"/>
        <v>Tarifs conventionnels assurance maladie</v>
      </c>
      <c r="U2781" t="str">
        <f>"490537966"</f>
        <v>490537966</v>
      </c>
    </row>
    <row r="2782" spans="1:21" x14ac:dyDescent="0.3">
      <c r="A2782" t="str">
        <f>"490531167"</f>
        <v>490531167</v>
      </c>
      <c r="B2782" t="str">
        <f>"316 157 619 00024"</f>
        <v>316 157 619 00024</v>
      </c>
      <c r="D2782" t="str">
        <f>"CSI SAINT GEORGES SUR LOIRE"</f>
        <v>CSI SAINT GEORGES SUR LOIRE</v>
      </c>
      <c r="F2782" t="str">
        <f>"8 RUE BERNARD CRETIN GUESDON"</f>
        <v>8 RUE BERNARD CRETIN GUESDON</v>
      </c>
      <c r="G2782" t="str">
        <f>"ZAC DES FOUGERES"</f>
        <v>ZAC DES FOUGERES</v>
      </c>
      <c r="H2782" t="str">
        <f>"49170"</f>
        <v>49170</v>
      </c>
      <c r="I2782" t="str">
        <f>"ST GEORGES SUR LOIRE"</f>
        <v>ST GEORGES SUR LOIRE</v>
      </c>
      <c r="J2782" t="str">
        <f>"02 41 39 30 39 "</f>
        <v xml:space="preserve">02 41 39 30 39 </v>
      </c>
      <c r="K2782" t="str">
        <f>"02 41 39 48 71"</f>
        <v>02 41 39 48 71</v>
      </c>
      <c r="L2782" s="1">
        <v>28970</v>
      </c>
      <c r="M2782" t="str">
        <f t="shared" si="403"/>
        <v>124</v>
      </c>
      <c r="N2782" t="str">
        <f t="shared" si="404"/>
        <v>Centre de Santé</v>
      </c>
      <c r="O2782" t="str">
        <f t="shared" si="405"/>
        <v>60</v>
      </c>
      <c r="P2782" t="str">
        <f t="shared" si="406"/>
        <v>Association Loi 1901 non Reconnue d'Utilité Publique</v>
      </c>
      <c r="Q2782" t="str">
        <f t="shared" si="401"/>
        <v>36</v>
      </c>
      <c r="R2782" t="str">
        <f t="shared" si="402"/>
        <v>Tarifs conventionnels assurance maladie</v>
      </c>
      <c r="U2782" t="str">
        <f>"490001880"</f>
        <v>490001880</v>
      </c>
    </row>
    <row r="2783" spans="1:21" x14ac:dyDescent="0.3">
      <c r="A2783" t="str">
        <f>"490531258"</f>
        <v>490531258</v>
      </c>
      <c r="B2783" t="str">
        <f>"329 744 882 00039"</f>
        <v>329 744 882 00039</v>
      </c>
      <c r="D2783" t="str">
        <f>"CSI JEANNE RIVEREAU"</f>
        <v>CSI JEANNE RIVEREAU</v>
      </c>
      <c r="F2783" t="str">
        <f>"11 RUE DES TISSERANDS"</f>
        <v>11 RUE DES TISSERANDS</v>
      </c>
      <c r="H2783" t="str">
        <f>"49620"</f>
        <v>49620</v>
      </c>
      <c r="I2783" t="str">
        <f>"MAUGES SUR LOIRE"</f>
        <v>MAUGES SUR LOIRE</v>
      </c>
      <c r="J2783" t="str">
        <f>"02 41 77 70 87 "</f>
        <v xml:space="preserve">02 41 77 70 87 </v>
      </c>
      <c r="L2783" s="1">
        <v>28970</v>
      </c>
      <c r="M2783" t="str">
        <f t="shared" si="403"/>
        <v>124</v>
      </c>
      <c r="N2783" t="str">
        <f t="shared" si="404"/>
        <v>Centre de Santé</v>
      </c>
      <c r="O2783" t="str">
        <f t="shared" si="405"/>
        <v>60</v>
      </c>
      <c r="P2783" t="str">
        <f t="shared" si="406"/>
        <v>Association Loi 1901 non Reconnue d'Utilité Publique</v>
      </c>
      <c r="Q2783" t="str">
        <f t="shared" si="401"/>
        <v>36</v>
      </c>
      <c r="R2783" t="str">
        <f t="shared" si="402"/>
        <v>Tarifs conventionnels assurance maladie</v>
      </c>
      <c r="U2783" t="str">
        <f>"490535010"</f>
        <v>490535010</v>
      </c>
    </row>
    <row r="2784" spans="1:21" x14ac:dyDescent="0.3">
      <c r="A2784" t="str">
        <f>"850006826"</f>
        <v>850006826</v>
      </c>
      <c r="B2784" t="str">
        <f>"311 976 641 00069"</f>
        <v>311 976 641 00069</v>
      </c>
      <c r="D2784" t="str">
        <f>"CENTRE DE SANTE INFIRMIER ADMR"</f>
        <v>CENTRE DE SANTE INFIRMIER ADMR</v>
      </c>
      <c r="F2784" t="str">
        <f>"1 AVENUE DU MARCHAIS"</f>
        <v>1 AVENUE DU MARCHAIS</v>
      </c>
      <c r="H2784" t="str">
        <f>"85270"</f>
        <v>85270</v>
      </c>
      <c r="I2784" t="str">
        <f>"ST HILAIRE DE RIEZ"</f>
        <v>ST HILAIRE DE RIEZ</v>
      </c>
      <c r="J2784" t="str">
        <f>"02 51 54 33 90 "</f>
        <v xml:space="preserve">02 51 54 33 90 </v>
      </c>
      <c r="L2784" s="1">
        <v>28970</v>
      </c>
      <c r="M2784" t="str">
        <f t="shared" si="403"/>
        <v>124</v>
      </c>
      <c r="N2784" t="str">
        <f t="shared" si="404"/>
        <v>Centre de Santé</v>
      </c>
      <c r="O2784" t="str">
        <f t="shared" si="405"/>
        <v>60</v>
      </c>
      <c r="P2784" t="str">
        <f t="shared" si="406"/>
        <v>Association Loi 1901 non Reconnue d'Utilité Publique</v>
      </c>
      <c r="Q2784" t="str">
        <f t="shared" si="401"/>
        <v>36</v>
      </c>
      <c r="R2784" t="str">
        <f t="shared" si="402"/>
        <v>Tarifs conventionnels assurance maladie</v>
      </c>
      <c r="U2784" t="str">
        <f>"850013905"</f>
        <v>850013905</v>
      </c>
    </row>
    <row r="2785" spans="1:21" x14ac:dyDescent="0.3">
      <c r="A2785" t="str">
        <f>"850011115"</f>
        <v>850011115</v>
      </c>
      <c r="B2785" t="str">
        <f>"403 751 423 00019"</f>
        <v>403 751 423 00019</v>
      </c>
      <c r="D2785" t="str">
        <f>"CSI MAREUIL SUR LAY DISSAIS"</f>
        <v>CSI MAREUIL SUR LAY DISSAIS</v>
      </c>
      <c r="F2785" t="str">
        <f>"15 PLACE DES HALLES"</f>
        <v>15 PLACE DES HALLES</v>
      </c>
      <c r="H2785" t="str">
        <f>"85320"</f>
        <v>85320</v>
      </c>
      <c r="I2785" t="str">
        <f>"MAREUIL SUR LAY DISSAIS"</f>
        <v>MAREUIL SUR LAY DISSAIS</v>
      </c>
      <c r="J2785" t="str">
        <f>"02 51 30 54 84 "</f>
        <v xml:space="preserve">02 51 30 54 84 </v>
      </c>
      <c r="L2785" s="1">
        <v>28970</v>
      </c>
      <c r="M2785" t="str">
        <f t="shared" si="403"/>
        <v>124</v>
      </c>
      <c r="N2785" t="str">
        <f t="shared" si="404"/>
        <v>Centre de Santé</v>
      </c>
      <c r="O2785" t="str">
        <f t="shared" si="405"/>
        <v>60</v>
      </c>
      <c r="P2785" t="str">
        <f t="shared" si="406"/>
        <v>Association Loi 1901 non Reconnue d'Utilité Publique</v>
      </c>
      <c r="Q2785" t="str">
        <f t="shared" si="401"/>
        <v>36</v>
      </c>
      <c r="R2785" t="str">
        <f t="shared" si="402"/>
        <v>Tarifs conventionnels assurance maladie</v>
      </c>
      <c r="U2785" t="str">
        <f>"850014135"</f>
        <v>850014135</v>
      </c>
    </row>
    <row r="2786" spans="1:21" x14ac:dyDescent="0.3">
      <c r="A2786" t="str">
        <f>"850011404"</f>
        <v>850011404</v>
      </c>
      <c r="B2786" t="str">
        <f>"315 502 831 00052"</f>
        <v>315 502 831 00052</v>
      </c>
      <c r="D2786" t="str">
        <f>"CENTRE DE SOINS INFIRMIERS DE BENET"</f>
        <v>CENTRE DE SOINS INFIRMIERS DE BENET</v>
      </c>
      <c r="F2786" t="str">
        <f>"7 RUE DE L'IMBAUDIERE"</f>
        <v>7 RUE DE L'IMBAUDIERE</v>
      </c>
      <c r="H2786" t="str">
        <f>"85490"</f>
        <v>85490</v>
      </c>
      <c r="I2786" t="str">
        <f>"BENET"</f>
        <v>BENET</v>
      </c>
      <c r="J2786" t="str">
        <f>"02 51 00 97 19 "</f>
        <v xml:space="preserve">02 51 00 97 19 </v>
      </c>
      <c r="L2786" s="1">
        <v>28970</v>
      </c>
      <c r="M2786" t="str">
        <f t="shared" si="403"/>
        <v>124</v>
      </c>
      <c r="N2786" t="str">
        <f t="shared" si="404"/>
        <v>Centre de Santé</v>
      </c>
      <c r="O2786" t="str">
        <f t="shared" si="405"/>
        <v>60</v>
      </c>
      <c r="P2786" t="str">
        <f t="shared" si="406"/>
        <v>Association Loi 1901 non Reconnue d'Utilité Publique</v>
      </c>
      <c r="Q2786" t="str">
        <f t="shared" si="401"/>
        <v>36</v>
      </c>
      <c r="R2786" t="str">
        <f t="shared" si="402"/>
        <v>Tarifs conventionnels assurance maladie</v>
      </c>
      <c r="U2786" t="str">
        <f>"850013434"</f>
        <v>850013434</v>
      </c>
    </row>
    <row r="2787" spans="1:21" x14ac:dyDescent="0.3">
      <c r="A2787" t="str">
        <f>"850011412"</f>
        <v>850011412</v>
      </c>
      <c r="B2787" t="str">
        <f>"317 002 996 00013"</f>
        <v>317 002 996 00013</v>
      </c>
      <c r="D2787" t="str">
        <f>"CSI ADMR DE LA SEVRE"</f>
        <v>CSI ADMR DE LA SEVRE</v>
      </c>
      <c r="F2787" t="str">
        <f>"1 RUE BEAUSEJOUR"</f>
        <v>1 RUE BEAUSEJOUR</v>
      </c>
      <c r="H2787" t="str">
        <f>"85590"</f>
        <v>85590</v>
      </c>
      <c r="I2787" t="str">
        <f>"LES EPESSES"</f>
        <v>LES EPESSES</v>
      </c>
      <c r="J2787" t="str">
        <f>"02 51 57 37 51 "</f>
        <v xml:space="preserve">02 51 57 37 51 </v>
      </c>
      <c r="L2787" s="1">
        <v>28970</v>
      </c>
      <c r="M2787" t="str">
        <f t="shared" si="403"/>
        <v>124</v>
      </c>
      <c r="N2787" t="str">
        <f t="shared" si="404"/>
        <v>Centre de Santé</v>
      </c>
      <c r="O2787" t="str">
        <f t="shared" si="405"/>
        <v>60</v>
      </c>
      <c r="P2787" t="str">
        <f t="shared" si="406"/>
        <v>Association Loi 1901 non Reconnue d'Utilité Publique</v>
      </c>
      <c r="Q2787" t="str">
        <f t="shared" si="401"/>
        <v>36</v>
      </c>
      <c r="R2787" t="str">
        <f t="shared" si="402"/>
        <v>Tarifs conventionnels assurance maladie</v>
      </c>
      <c r="U2787" t="str">
        <f>"850013582"</f>
        <v>850013582</v>
      </c>
    </row>
    <row r="2788" spans="1:21" x14ac:dyDescent="0.3">
      <c r="A2788" t="str">
        <f>"850011446"</f>
        <v>850011446</v>
      </c>
      <c r="B2788" t="str">
        <f>"453 351 009 00015"</f>
        <v>453 351 009 00015</v>
      </c>
      <c r="D2788" t="str">
        <f>"CENTRE DE SOINS UNION CHRETIENNE"</f>
        <v>CENTRE DE SOINS UNION CHRETIENNE</v>
      </c>
      <c r="F2788" t="str">
        <f>"9 RUE DE GAOUA"</f>
        <v>9 RUE DE GAOUA</v>
      </c>
      <c r="G2788" t="str">
        <f>"BP 275"</f>
        <v>BP 275</v>
      </c>
      <c r="H2788" t="str">
        <f>"85205"</f>
        <v>85205</v>
      </c>
      <c r="I2788" t="str">
        <f>"FONTENAY LE COMTE CEDEX"</f>
        <v>FONTENAY LE COMTE CEDEX</v>
      </c>
      <c r="J2788" t="str">
        <f>"02 51 69 48 04 "</f>
        <v xml:space="preserve">02 51 69 48 04 </v>
      </c>
      <c r="L2788" s="1">
        <v>28970</v>
      </c>
      <c r="M2788" t="str">
        <f t="shared" si="403"/>
        <v>124</v>
      </c>
      <c r="N2788" t="str">
        <f t="shared" si="404"/>
        <v>Centre de Santé</v>
      </c>
      <c r="O2788" t="str">
        <f t="shared" si="405"/>
        <v>60</v>
      </c>
      <c r="P2788" t="str">
        <f t="shared" si="406"/>
        <v>Association Loi 1901 non Reconnue d'Utilité Publique</v>
      </c>
      <c r="Q2788" t="str">
        <f t="shared" si="401"/>
        <v>36</v>
      </c>
      <c r="R2788" t="str">
        <f t="shared" si="402"/>
        <v>Tarifs conventionnels assurance maladie</v>
      </c>
      <c r="U2788" t="str">
        <f>"850008038"</f>
        <v>850008038</v>
      </c>
    </row>
    <row r="2789" spans="1:21" x14ac:dyDescent="0.3">
      <c r="A2789" t="str">
        <f>"350003562"</f>
        <v>350003562</v>
      </c>
      <c r="B2789" t="str">
        <f>"504 545 443 00096"</f>
        <v>504 545 443 00096</v>
      </c>
      <c r="D2789" t="str">
        <f>"CDS POLYVALENT DE REDON"</f>
        <v>CDS POLYVALENT DE REDON</v>
      </c>
      <c r="F2789" t="str">
        <f>"20 BOULEVARD BONNE NOUVELLE"</f>
        <v>20 BOULEVARD BONNE NOUVELLE</v>
      </c>
      <c r="H2789" t="str">
        <f>"35600"</f>
        <v>35600</v>
      </c>
      <c r="I2789" t="str">
        <f>"REDON"</f>
        <v>REDON</v>
      </c>
      <c r="J2789" t="str">
        <f>"02 99 71 02 20 "</f>
        <v xml:space="preserve">02 99 71 02 20 </v>
      </c>
      <c r="L2789" s="1">
        <v>28956</v>
      </c>
      <c r="M2789" t="str">
        <f t="shared" si="403"/>
        <v>124</v>
      </c>
      <c r="N2789" t="str">
        <f t="shared" si="404"/>
        <v>Centre de Santé</v>
      </c>
      <c r="O2789" t="str">
        <f>"61"</f>
        <v>61</v>
      </c>
      <c r="P2789" t="str">
        <f>"Association Loi 1901 Reconnue d'Utilité Publique"</f>
        <v>Association Loi 1901 Reconnue d'Utilité Publique</v>
      </c>
      <c r="Q2789" t="str">
        <f t="shared" si="401"/>
        <v>36</v>
      </c>
      <c r="R2789" t="str">
        <f t="shared" si="402"/>
        <v>Tarifs conventionnels assurance maladie</v>
      </c>
      <c r="U2789" t="str">
        <f>"350046199"</f>
        <v>350046199</v>
      </c>
    </row>
    <row r="2790" spans="1:21" x14ac:dyDescent="0.3">
      <c r="A2790" t="str">
        <f>"940010457"</f>
        <v>940010457</v>
      </c>
      <c r="B2790" t="str">
        <f>"219 400 330 00391"</f>
        <v>219 400 330 00391</v>
      </c>
      <c r="D2790" t="str">
        <f>"CDS MEDICO SOCIAL MUNICIPAL"</f>
        <v>CDS MEDICO SOCIAL MUNICIPAL</v>
      </c>
      <c r="F2790" t="str">
        <f>"40 AVENUE ROGER SALENGRO"</f>
        <v>40 AVENUE ROGER SALENGRO</v>
      </c>
      <c r="H2790" t="str">
        <f>"94120"</f>
        <v>94120</v>
      </c>
      <c r="I2790" t="str">
        <f>"FONTENAY SOUS BOIS"</f>
        <v>FONTENAY SOUS BOIS</v>
      </c>
      <c r="J2790" t="str">
        <f>"01 49 74 76 56 "</f>
        <v xml:space="preserve">01 49 74 76 56 </v>
      </c>
      <c r="K2790" t="str">
        <f>"01 49 74 76 59"</f>
        <v>01 49 74 76 59</v>
      </c>
      <c r="L2790" s="1">
        <v>28954</v>
      </c>
      <c r="M2790" t="str">
        <f t="shared" si="403"/>
        <v>124</v>
      </c>
      <c r="N2790" t="str">
        <f t="shared" si="404"/>
        <v>Centre de Santé</v>
      </c>
      <c r="O2790" t="str">
        <f>"03"</f>
        <v>03</v>
      </c>
      <c r="P2790" t="str">
        <f>"Commune"</f>
        <v>Commune</v>
      </c>
      <c r="Q2790" t="str">
        <f t="shared" si="401"/>
        <v>36</v>
      </c>
      <c r="R2790" t="str">
        <f t="shared" si="402"/>
        <v>Tarifs conventionnels assurance maladie</v>
      </c>
      <c r="U2790" t="str">
        <f>"940806177"</f>
        <v>940806177</v>
      </c>
    </row>
    <row r="2791" spans="1:21" x14ac:dyDescent="0.3">
      <c r="A2791" t="str">
        <f>"120783170"</f>
        <v>120783170</v>
      </c>
      <c r="B2791" t="str">
        <f>"315 042 010 00068"</f>
        <v>315 042 010 00068</v>
      </c>
      <c r="D2791" t="str">
        <f>"CENTRE DE SOINS INFIRMIERS"</f>
        <v>CENTRE DE SOINS INFIRMIERS</v>
      </c>
      <c r="F2791" t="str">
        <f>"16 AVENUE DE SAINT-PIERRE"</f>
        <v>16 AVENUE DE SAINT-PIERRE</v>
      </c>
      <c r="H2791" t="str">
        <f>"12500"</f>
        <v>12500</v>
      </c>
      <c r="I2791" t="str">
        <f>"ESPALION"</f>
        <v>ESPALION</v>
      </c>
      <c r="J2791" t="str">
        <f>"05 65 44 08 79 "</f>
        <v xml:space="preserve">05 65 44 08 79 </v>
      </c>
      <c r="K2791" t="str">
        <f>"05 65 44 47 71"</f>
        <v>05 65 44 47 71</v>
      </c>
      <c r="L2791" s="1">
        <v>28949</v>
      </c>
      <c r="M2791" t="str">
        <f t="shared" si="403"/>
        <v>124</v>
      </c>
      <c r="N2791" t="str">
        <f t="shared" si="404"/>
        <v>Centre de Santé</v>
      </c>
      <c r="O2791" t="str">
        <f>"60"</f>
        <v>60</v>
      </c>
      <c r="P2791" t="str">
        <f>"Association Loi 1901 non Reconnue d'Utilité Publique"</f>
        <v>Association Loi 1901 non Reconnue d'Utilité Publique</v>
      </c>
      <c r="Q2791" t="str">
        <f t="shared" ref="Q2791:Q2854" si="407">"36"</f>
        <v>36</v>
      </c>
      <c r="R2791" t="str">
        <f t="shared" ref="R2791:R2854" si="408">"Tarifs conventionnels assurance maladie"</f>
        <v>Tarifs conventionnels assurance maladie</v>
      </c>
      <c r="U2791" t="str">
        <f>"120784962"</f>
        <v>120784962</v>
      </c>
    </row>
    <row r="2792" spans="1:21" x14ac:dyDescent="0.3">
      <c r="A2792" t="str">
        <f>"590780649"</f>
        <v>590780649</v>
      </c>
      <c r="D2792" t="str">
        <f>"CENTRE DE SOINS INFIRMIERS"</f>
        <v>CENTRE DE SOINS INFIRMIERS</v>
      </c>
      <c r="F2792" t="str">
        <f>"18 RUE ANATOLE FRANCE"</f>
        <v>18 RUE ANATOLE FRANCE</v>
      </c>
      <c r="H2792" t="str">
        <f>"59155"</f>
        <v>59155</v>
      </c>
      <c r="I2792" t="str">
        <f>"FACHES THUMESNIL"</f>
        <v>FACHES THUMESNIL</v>
      </c>
      <c r="J2792" t="str">
        <f>"03 20 60 08 28 "</f>
        <v xml:space="preserve">03 20 60 08 28 </v>
      </c>
      <c r="L2792" s="1">
        <v>28941</v>
      </c>
      <c r="M2792" t="str">
        <f t="shared" si="403"/>
        <v>124</v>
      </c>
      <c r="N2792" t="str">
        <f t="shared" si="404"/>
        <v>Centre de Santé</v>
      </c>
      <c r="O2792" t="str">
        <f>"60"</f>
        <v>60</v>
      </c>
      <c r="P2792" t="str">
        <f>"Association Loi 1901 non Reconnue d'Utilité Publique"</f>
        <v>Association Loi 1901 non Reconnue d'Utilité Publique</v>
      </c>
      <c r="Q2792" t="str">
        <f t="shared" si="407"/>
        <v>36</v>
      </c>
      <c r="R2792" t="str">
        <f t="shared" si="408"/>
        <v>Tarifs conventionnels assurance maladie</v>
      </c>
      <c r="U2792" t="str">
        <f>"750803728"</f>
        <v>750803728</v>
      </c>
    </row>
    <row r="2793" spans="1:21" x14ac:dyDescent="0.3">
      <c r="A2793" t="str">
        <f>"590780797"</f>
        <v>590780797</v>
      </c>
      <c r="B2793" t="str">
        <f>"304 219 967 00029"</f>
        <v>304 219 967 00029</v>
      </c>
      <c r="D2793" t="str">
        <f>"CENTRE DE SOINS INFIRM.LAENNEC"</f>
        <v>CENTRE DE SOINS INFIRM.LAENNEC</v>
      </c>
      <c r="F2793" t="str">
        <f>"202 RUE DU BOIS"</f>
        <v>202 RUE DU BOIS</v>
      </c>
      <c r="H2793" t="str">
        <f>"59800"</f>
        <v>59800</v>
      </c>
      <c r="I2793" t="str">
        <f>"LILLE"</f>
        <v>LILLE</v>
      </c>
      <c r="J2793" t="str">
        <f>"03 20 55 93 77 "</f>
        <v xml:space="preserve">03 20 55 93 77 </v>
      </c>
      <c r="L2793" s="1">
        <v>28941</v>
      </c>
      <c r="M2793" t="str">
        <f t="shared" si="403"/>
        <v>124</v>
      </c>
      <c r="N2793" t="str">
        <f t="shared" si="404"/>
        <v>Centre de Santé</v>
      </c>
      <c r="O2793" t="str">
        <f>"60"</f>
        <v>60</v>
      </c>
      <c r="P2793" t="str">
        <f>"Association Loi 1901 non Reconnue d'Utilité Publique"</f>
        <v>Association Loi 1901 non Reconnue d'Utilité Publique</v>
      </c>
      <c r="Q2793" t="str">
        <f t="shared" si="407"/>
        <v>36</v>
      </c>
      <c r="R2793" t="str">
        <f t="shared" si="408"/>
        <v>Tarifs conventionnels assurance maladie</v>
      </c>
      <c r="U2793" t="str">
        <f>"590800173"</f>
        <v>590800173</v>
      </c>
    </row>
    <row r="2794" spans="1:21" x14ac:dyDescent="0.3">
      <c r="A2794" t="str">
        <f>"590780805"</f>
        <v>590780805</v>
      </c>
      <c r="B2794" t="str">
        <f>"312 455 165 00026"</f>
        <v>312 455 165 00026</v>
      </c>
      <c r="D2794" t="str">
        <f>"CENTRE DE SOINS EUGENIE SMET"</f>
        <v>CENTRE DE SOINS EUGENIE SMET</v>
      </c>
      <c r="F2794" t="str">
        <f>"220 RUE DES BOIS BLANCS"</f>
        <v>220 RUE DES BOIS BLANCS</v>
      </c>
      <c r="H2794" t="str">
        <f>"59000"</f>
        <v>59000</v>
      </c>
      <c r="I2794" t="str">
        <f>"LILLE"</f>
        <v>LILLE</v>
      </c>
      <c r="J2794" t="str">
        <f>"03 20 09 06 80 "</f>
        <v xml:space="preserve">03 20 09 06 80 </v>
      </c>
      <c r="L2794" s="1">
        <v>28941</v>
      </c>
      <c r="M2794" t="str">
        <f t="shared" si="403"/>
        <v>124</v>
      </c>
      <c r="N2794" t="str">
        <f t="shared" si="404"/>
        <v>Centre de Santé</v>
      </c>
      <c r="O2794" t="str">
        <f>"60"</f>
        <v>60</v>
      </c>
      <c r="P2794" t="str">
        <f>"Association Loi 1901 non Reconnue d'Utilité Publique"</f>
        <v>Association Loi 1901 non Reconnue d'Utilité Publique</v>
      </c>
      <c r="Q2794" t="str">
        <f t="shared" si="407"/>
        <v>36</v>
      </c>
      <c r="R2794" t="str">
        <f t="shared" si="408"/>
        <v>Tarifs conventionnels assurance maladie</v>
      </c>
      <c r="U2794" t="str">
        <f>"590000246"</f>
        <v>590000246</v>
      </c>
    </row>
    <row r="2795" spans="1:21" x14ac:dyDescent="0.3">
      <c r="A2795" t="str">
        <f>"590784377"</f>
        <v>590784377</v>
      </c>
      <c r="D2795" t="str">
        <f>"CSI DE GRANDE SYNTHE"</f>
        <v>CSI DE GRANDE SYNTHE</v>
      </c>
      <c r="F2795" t="str">
        <f>"20 RUE GEORGES CLÉMENCEAU"</f>
        <v>20 RUE GEORGES CLÉMENCEAU</v>
      </c>
      <c r="H2795" t="str">
        <f>"59760"</f>
        <v>59760</v>
      </c>
      <c r="I2795" t="str">
        <f>"GRANDE SYNTHE"</f>
        <v>GRANDE SYNTHE</v>
      </c>
      <c r="J2795" t="str">
        <f>"03 28 21 70 45 "</f>
        <v xml:space="preserve">03 28 21 70 45 </v>
      </c>
      <c r="L2795" s="1">
        <v>28941</v>
      </c>
      <c r="M2795" t="str">
        <f t="shared" si="403"/>
        <v>124</v>
      </c>
      <c r="N2795" t="str">
        <f t="shared" si="404"/>
        <v>Centre de Santé</v>
      </c>
      <c r="O2795" t="str">
        <f>"61"</f>
        <v>61</v>
      </c>
      <c r="P2795" t="str">
        <f>"Association Loi 1901 Reconnue d'Utilité Publique"</f>
        <v>Association Loi 1901 Reconnue d'Utilité Publique</v>
      </c>
      <c r="Q2795" t="str">
        <f t="shared" si="407"/>
        <v>36</v>
      </c>
      <c r="R2795" t="str">
        <f t="shared" si="408"/>
        <v>Tarifs conventionnels assurance maladie</v>
      </c>
      <c r="U2795" t="str">
        <f>"620036012"</f>
        <v>620036012</v>
      </c>
    </row>
    <row r="2796" spans="1:21" x14ac:dyDescent="0.3">
      <c r="A2796" t="str">
        <f>"590784542"</f>
        <v>590784542</v>
      </c>
      <c r="B2796" t="str">
        <f>"329 048 037 00025"</f>
        <v>329 048 037 00025</v>
      </c>
      <c r="D2796" t="str">
        <f>"CENTRE SOINS ET SANTÉ D'HALLUIN"</f>
        <v>CENTRE SOINS ET SANTÉ D'HALLUIN</v>
      </c>
      <c r="F2796" t="str">
        <f>"120 RUE DE LILLE"</f>
        <v>120 RUE DE LILLE</v>
      </c>
      <c r="H2796" t="str">
        <f>"59250"</f>
        <v>59250</v>
      </c>
      <c r="I2796" t="str">
        <f>"HALLUIN"</f>
        <v>HALLUIN</v>
      </c>
      <c r="J2796" t="str">
        <f>"03 20 94 72 33 "</f>
        <v xml:space="preserve">03 20 94 72 33 </v>
      </c>
      <c r="L2796" s="1">
        <v>28941</v>
      </c>
      <c r="M2796" t="str">
        <f t="shared" si="403"/>
        <v>124</v>
      </c>
      <c r="N2796" t="str">
        <f t="shared" si="404"/>
        <v>Centre de Santé</v>
      </c>
      <c r="O2796" t="str">
        <f>"60"</f>
        <v>60</v>
      </c>
      <c r="P2796" t="str">
        <f>"Association Loi 1901 non Reconnue d'Utilité Publique"</f>
        <v>Association Loi 1901 non Reconnue d'Utilité Publique</v>
      </c>
      <c r="Q2796" t="str">
        <f t="shared" si="407"/>
        <v>36</v>
      </c>
      <c r="R2796" t="str">
        <f t="shared" si="408"/>
        <v>Tarifs conventionnels assurance maladie</v>
      </c>
      <c r="U2796" t="str">
        <f>"590001475"</f>
        <v>590001475</v>
      </c>
    </row>
    <row r="2797" spans="1:21" x14ac:dyDescent="0.3">
      <c r="A2797" t="str">
        <f>"590784609"</f>
        <v>590784609</v>
      </c>
      <c r="B2797" t="str">
        <f>"302 353 966 00013"</f>
        <v>302 353 966 00013</v>
      </c>
      <c r="D2797" t="str">
        <f>"CENTRE DE SOINS DES FRANCS"</f>
        <v>CENTRE DE SOINS DES FRANCS</v>
      </c>
      <c r="F2797" t="str">
        <f>"1 RUE P PREVOST"</f>
        <v>1 RUE P PREVOST</v>
      </c>
      <c r="H2797" t="str">
        <f>"59420"</f>
        <v>59420</v>
      </c>
      <c r="I2797" t="str">
        <f>"MOUVAUX"</f>
        <v>MOUVAUX</v>
      </c>
      <c r="J2797" t="str">
        <f>"03 20 26 54 98 "</f>
        <v xml:space="preserve">03 20 26 54 98 </v>
      </c>
      <c r="L2797" s="1">
        <v>28941</v>
      </c>
      <c r="M2797" t="str">
        <f t="shared" si="403"/>
        <v>124</v>
      </c>
      <c r="N2797" t="str">
        <f t="shared" si="404"/>
        <v>Centre de Santé</v>
      </c>
      <c r="O2797" t="str">
        <f>"60"</f>
        <v>60</v>
      </c>
      <c r="P2797" t="str">
        <f>"Association Loi 1901 non Reconnue d'Utilité Publique"</f>
        <v>Association Loi 1901 non Reconnue d'Utilité Publique</v>
      </c>
      <c r="Q2797" t="str">
        <f t="shared" si="407"/>
        <v>36</v>
      </c>
      <c r="R2797" t="str">
        <f t="shared" si="408"/>
        <v>Tarifs conventionnels assurance maladie</v>
      </c>
      <c r="U2797" t="str">
        <f>"590800140"</f>
        <v>590800140</v>
      </c>
    </row>
    <row r="2798" spans="1:21" x14ac:dyDescent="0.3">
      <c r="A2798" t="str">
        <f>"480000876"</f>
        <v>480000876</v>
      </c>
      <c r="B2798" t="str">
        <f>"316 158 799 00049"</f>
        <v>316 158 799 00049</v>
      </c>
      <c r="D2798" t="str">
        <f>"CDS INFIRMIER ASS LANGOGNE"</f>
        <v>CDS INFIRMIER ASS LANGOGNE</v>
      </c>
      <c r="F2798" t="str">
        <f>"20 ROUTE DE LA TUILERIE"</f>
        <v>20 ROUTE DE LA TUILERIE</v>
      </c>
      <c r="H2798" t="str">
        <f>"48300"</f>
        <v>48300</v>
      </c>
      <c r="I2798" t="str">
        <f>"LANGOGNE"</f>
        <v>LANGOGNE</v>
      </c>
      <c r="J2798" t="str">
        <f>"04 66 69 08 67 "</f>
        <v xml:space="preserve">04 66 69 08 67 </v>
      </c>
      <c r="L2798" s="1">
        <v>28929</v>
      </c>
      <c r="M2798" t="str">
        <f t="shared" si="403"/>
        <v>124</v>
      </c>
      <c r="N2798" t="str">
        <f t="shared" si="404"/>
        <v>Centre de Santé</v>
      </c>
      <c r="O2798" t="str">
        <f>"60"</f>
        <v>60</v>
      </c>
      <c r="P2798" t="str">
        <f>"Association Loi 1901 non Reconnue d'Utilité Publique"</f>
        <v>Association Loi 1901 non Reconnue d'Utilité Publique</v>
      </c>
      <c r="Q2798" t="str">
        <f t="shared" si="407"/>
        <v>36</v>
      </c>
      <c r="R2798" t="str">
        <f t="shared" si="408"/>
        <v>Tarifs conventionnels assurance maladie</v>
      </c>
      <c r="U2798" t="str">
        <f>"480000843"</f>
        <v>480000843</v>
      </c>
    </row>
    <row r="2799" spans="1:21" x14ac:dyDescent="0.3">
      <c r="A2799" t="str">
        <f>"620106302"</f>
        <v>620106302</v>
      </c>
      <c r="B2799" t="str">
        <f>"335 338 406 00010"</f>
        <v>335 338 406 00010</v>
      </c>
      <c r="D2799" t="str">
        <f>"CENTRE DE SOINS INFIRMIERS"</f>
        <v>CENTRE DE SOINS INFIRMIERS</v>
      </c>
      <c r="F2799" t="str">
        <f>"23 RUE PAUL BERT"</f>
        <v>23 RUE PAUL BERT</v>
      </c>
      <c r="H2799" t="str">
        <f>"62400"</f>
        <v>62400</v>
      </c>
      <c r="I2799" t="str">
        <f>"BETHUNE"</f>
        <v>BETHUNE</v>
      </c>
      <c r="J2799" t="str">
        <f>"03 21 68 02 65 "</f>
        <v xml:space="preserve">03 21 68 02 65 </v>
      </c>
      <c r="L2799" s="1">
        <v>28922</v>
      </c>
      <c r="M2799" t="str">
        <f t="shared" si="403"/>
        <v>124</v>
      </c>
      <c r="N2799" t="str">
        <f t="shared" si="404"/>
        <v>Centre de Santé</v>
      </c>
      <c r="O2799" t="str">
        <f>"61"</f>
        <v>61</v>
      </c>
      <c r="P2799" t="str">
        <f>"Association Loi 1901 Reconnue d'Utilité Publique"</f>
        <v>Association Loi 1901 Reconnue d'Utilité Publique</v>
      </c>
      <c r="Q2799" t="str">
        <f t="shared" si="407"/>
        <v>36</v>
      </c>
      <c r="R2799" t="str">
        <f t="shared" si="408"/>
        <v>Tarifs conventionnels assurance maladie</v>
      </c>
      <c r="U2799" t="str">
        <f>"620001131"</f>
        <v>620001131</v>
      </c>
    </row>
    <row r="2800" spans="1:21" x14ac:dyDescent="0.3">
      <c r="A2800" t="str">
        <f>"350003513"</f>
        <v>350003513</v>
      </c>
      <c r="B2800" t="str">
        <f>"777 714 825 00042"</f>
        <v>777 714 825 00042</v>
      </c>
      <c r="D2800" t="str">
        <f>"CDS INF ADMR DE PIPRIAC"</f>
        <v>CDS INF ADMR DE PIPRIAC</v>
      </c>
      <c r="E2800" t="str">
        <f>"MAISON DE SANTE"</f>
        <v>MAISON DE SANTE</v>
      </c>
      <c r="F2800" t="str">
        <f>"44 RUE DU GENERAL DE GAULLE"</f>
        <v>44 RUE DU GENERAL DE GAULLE</v>
      </c>
      <c r="H2800" t="str">
        <f>"35550"</f>
        <v>35550</v>
      </c>
      <c r="I2800" t="str">
        <f>"PIPRIAC"</f>
        <v>PIPRIAC</v>
      </c>
      <c r="J2800" t="str">
        <f>"02 99 34 45 44 "</f>
        <v xml:space="preserve">02 99 34 45 44 </v>
      </c>
      <c r="L2800" s="1">
        <v>28915</v>
      </c>
      <c r="M2800" t="str">
        <f t="shared" si="403"/>
        <v>124</v>
      </c>
      <c r="N2800" t="str">
        <f t="shared" si="404"/>
        <v>Centre de Santé</v>
      </c>
      <c r="O2800" t="str">
        <f>"60"</f>
        <v>60</v>
      </c>
      <c r="P2800" t="str">
        <f>"Association Loi 1901 non Reconnue d'Utilité Publique"</f>
        <v>Association Loi 1901 non Reconnue d'Utilité Publique</v>
      </c>
      <c r="Q2800" t="str">
        <f t="shared" si="407"/>
        <v>36</v>
      </c>
      <c r="R2800" t="str">
        <f t="shared" si="408"/>
        <v>Tarifs conventionnels assurance maladie</v>
      </c>
      <c r="U2800" t="str">
        <f>"350000659"</f>
        <v>350000659</v>
      </c>
    </row>
    <row r="2801" spans="1:21" x14ac:dyDescent="0.3">
      <c r="A2801" t="str">
        <f>"380789008"</f>
        <v>380789008</v>
      </c>
      <c r="B2801" t="str">
        <f>"779 626 357 00015"</f>
        <v>779 626 357 00015</v>
      </c>
      <c r="D2801" t="str">
        <f>"CENTRE DE SANTE ESE LA TRONCHE"</f>
        <v>CENTRE DE SANTE ESE LA TRONCHE</v>
      </c>
      <c r="E2801" t="str">
        <f>"VILLA DU ROSAIRE"</f>
        <v>VILLA DU ROSAIRE</v>
      </c>
      <c r="F2801" t="str">
        <f>"22 AVENUE MAQUIS DU GRESIVAUDAN"</f>
        <v>22 AVENUE MAQUIS DU GRESIVAUDAN</v>
      </c>
      <c r="H2801" t="str">
        <f>"38700"</f>
        <v>38700</v>
      </c>
      <c r="I2801" t="str">
        <f>"LA TRONCHE"</f>
        <v>LA TRONCHE</v>
      </c>
      <c r="J2801" t="str">
        <f>"04 76 42 11 03 "</f>
        <v xml:space="preserve">04 76 42 11 03 </v>
      </c>
      <c r="K2801" t="str">
        <f>"04 76 42 11 03"</f>
        <v>04 76 42 11 03</v>
      </c>
      <c r="L2801" s="1">
        <v>28914</v>
      </c>
      <c r="M2801" t="str">
        <f t="shared" si="403"/>
        <v>124</v>
      </c>
      <c r="N2801" t="str">
        <f t="shared" si="404"/>
        <v>Centre de Santé</v>
      </c>
      <c r="O2801" t="str">
        <f>"60"</f>
        <v>60</v>
      </c>
      <c r="P2801" t="str">
        <f>"Association Loi 1901 non Reconnue d'Utilité Publique"</f>
        <v>Association Loi 1901 non Reconnue d'Utilité Publique</v>
      </c>
      <c r="Q2801" t="str">
        <f t="shared" si="407"/>
        <v>36</v>
      </c>
      <c r="R2801" t="str">
        <f t="shared" si="408"/>
        <v>Tarifs conventionnels assurance maladie</v>
      </c>
      <c r="U2801" t="str">
        <f>"380790949"</f>
        <v>380790949</v>
      </c>
    </row>
    <row r="2802" spans="1:21" x14ac:dyDescent="0.3">
      <c r="A2802" t="str">
        <f>"060786019"</f>
        <v>060786019</v>
      </c>
      <c r="B2802" t="str">
        <f>"477 901 714 00089"</f>
        <v>477 901 714 00089</v>
      </c>
      <c r="D2802" t="str">
        <f>"CDS POLYVALENT (MGEN)"</f>
        <v>CDS POLYVALENT (MGEN)</v>
      </c>
      <c r="F2802" t="str">
        <f>"17 RUE ROBERT LATOUCHE"</f>
        <v>17 RUE ROBERT LATOUCHE</v>
      </c>
      <c r="H2802" t="str">
        <f>"06200"</f>
        <v>06200</v>
      </c>
      <c r="I2802" t="str">
        <f>"NICE"</f>
        <v>NICE</v>
      </c>
      <c r="J2802" t="str">
        <f>"04 93 82 63 12 "</f>
        <v xml:space="preserve">04 93 82 63 12 </v>
      </c>
      <c r="K2802" t="str">
        <f>"04 93 82 38 49"</f>
        <v>04 93 82 38 49</v>
      </c>
      <c r="L2802" s="1">
        <v>28908</v>
      </c>
      <c r="M2802" t="str">
        <f t="shared" si="403"/>
        <v>124</v>
      </c>
      <c r="N2802" t="str">
        <f t="shared" si="404"/>
        <v>Centre de Santé</v>
      </c>
      <c r="O2802" t="str">
        <f>"47"</f>
        <v>47</v>
      </c>
      <c r="P2802" t="str">
        <f>"Société Mutualiste"</f>
        <v>Société Mutualiste</v>
      </c>
      <c r="Q2802" t="str">
        <f t="shared" si="407"/>
        <v>36</v>
      </c>
      <c r="R2802" t="str">
        <f t="shared" si="408"/>
        <v>Tarifs conventionnels assurance maladie</v>
      </c>
      <c r="U2802" t="str">
        <f>"750008658"</f>
        <v>750008658</v>
      </c>
    </row>
    <row r="2803" spans="1:21" x14ac:dyDescent="0.3">
      <c r="A2803" t="str">
        <f>"380788562"</f>
        <v>380788562</v>
      </c>
      <c r="B2803" t="str">
        <f>"305 148 744 00017"</f>
        <v>305 148 744 00017</v>
      </c>
      <c r="D2803" t="str">
        <f>"CENTRE DE SANTE MOIRANS"</f>
        <v>CENTRE DE SANTE MOIRANS</v>
      </c>
      <c r="F2803" t="str">
        <f>"122 RUE DE LA REPUBLIQUE"</f>
        <v>122 RUE DE LA REPUBLIQUE</v>
      </c>
      <c r="H2803" t="str">
        <f>"38430"</f>
        <v>38430</v>
      </c>
      <c r="I2803" t="str">
        <f>"MOIRANS"</f>
        <v>MOIRANS</v>
      </c>
      <c r="J2803" t="str">
        <f>"04 76 35 40 90 "</f>
        <v xml:space="preserve">04 76 35 40 90 </v>
      </c>
      <c r="K2803" t="str">
        <f>"04 76 35 56 54"</f>
        <v>04 76 35 56 54</v>
      </c>
      <c r="L2803" s="1">
        <v>28902</v>
      </c>
      <c r="M2803" t="str">
        <f t="shared" si="403"/>
        <v>124</v>
      </c>
      <c r="N2803" t="str">
        <f t="shared" si="404"/>
        <v>Centre de Santé</v>
      </c>
      <c r="O2803" t="str">
        <f>"60"</f>
        <v>60</v>
      </c>
      <c r="P2803" t="str">
        <f>"Association Loi 1901 non Reconnue d'Utilité Publique"</f>
        <v>Association Loi 1901 non Reconnue d'Utilité Publique</v>
      </c>
      <c r="Q2803" t="str">
        <f t="shared" si="407"/>
        <v>36</v>
      </c>
      <c r="R2803" t="str">
        <f t="shared" si="408"/>
        <v>Tarifs conventionnels assurance maladie</v>
      </c>
      <c r="U2803" t="str">
        <f>"380792804"</f>
        <v>380792804</v>
      </c>
    </row>
    <row r="2804" spans="1:21" x14ac:dyDescent="0.3">
      <c r="A2804" t="str">
        <f>"720006865"</f>
        <v>720006865</v>
      </c>
      <c r="B2804" t="str">
        <f>"342 005 634 00015"</f>
        <v>342 005 634 00015</v>
      </c>
      <c r="D2804" t="str">
        <f>"CENTRE DE SOINS INFIRMIERS MISERICORDE"</f>
        <v>CENTRE DE SOINS INFIRMIERS MISERICORDE</v>
      </c>
      <c r="F2804" t="str">
        <f>"101 RUE LEDRU ROLLIN"</f>
        <v>101 RUE LEDRU ROLLIN</v>
      </c>
      <c r="H2804" t="str">
        <f>"72600"</f>
        <v>72600</v>
      </c>
      <c r="I2804" t="str">
        <f>"MAMERS"</f>
        <v>MAMERS</v>
      </c>
      <c r="J2804" t="str">
        <f>"02 43 97 60 16 "</f>
        <v xml:space="preserve">02 43 97 60 16 </v>
      </c>
      <c r="L2804" s="1">
        <v>28900</v>
      </c>
      <c r="M2804" t="str">
        <f t="shared" si="403"/>
        <v>124</v>
      </c>
      <c r="N2804" t="str">
        <f t="shared" si="404"/>
        <v>Centre de Santé</v>
      </c>
      <c r="O2804" t="str">
        <f>"06"</f>
        <v>06</v>
      </c>
      <c r="P2804" t="str">
        <f>"Autre Collectivité Territoriale"</f>
        <v>Autre Collectivité Territoriale</v>
      </c>
      <c r="Q2804" t="str">
        <f t="shared" si="407"/>
        <v>36</v>
      </c>
      <c r="R2804" t="str">
        <f t="shared" si="408"/>
        <v>Tarifs conventionnels assurance maladie</v>
      </c>
      <c r="U2804" t="str">
        <f>"720020577"</f>
        <v>720020577</v>
      </c>
    </row>
    <row r="2805" spans="1:21" x14ac:dyDescent="0.3">
      <c r="A2805" t="str">
        <f>"610781627"</f>
        <v>610781627</v>
      </c>
      <c r="B2805" t="str">
        <f>"794 994 277 01479"</f>
        <v>794 994 277 01479</v>
      </c>
      <c r="D2805" t="str">
        <f>"CENTRE DE SANTE DENTAIRE - FLERS"</f>
        <v>CENTRE DE SANTE DENTAIRE - FLERS</v>
      </c>
      <c r="F2805" t="str">
        <f>"2 RUE 11E DIVISION BRITANNIQUE"</f>
        <v>2 RUE 11E DIVISION BRITANNIQUE</v>
      </c>
      <c r="H2805" t="str">
        <f>"61100"</f>
        <v>61100</v>
      </c>
      <c r="I2805" t="str">
        <f>"FLERS"</f>
        <v>FLERS</v>
      </c>
      <c r="J2805" t="str">
        <f>"02 33 65 52 25 "</f>
        <v xml:space="preserve">02 33 65 52 25 </v>
      </c>
      <c r="K2805" t="str">
        <f>"02 33 64 40 13"</f>
        <v>02 33 64 40 13</v>
      </c>
      <c r="L2805" s="1">
        <v>28877</v>
      </c>
      <c r="M2805" t="str">
        <f t="shared" si="403"/>
        <v>124</v>
      </c>
      <c r="N2805" t="str">
        <f t="shared" si="404"/>
        <v>Centre de Santé</v>
      </c>
      <c r="O2805" t="str">
        <f>"47"</f>
        <v>47</v>
      </c>
      <c r="P2805" t="str">
        <f>"Société Mutualiste"</f>
        <v>Société Mutualiste</v>
      </c>
      <c r="Q2805" t="str">
        <f t="shared" si="407"/>
        <v>36</v>
      </c>
      <c r="R2805" t="str">
        <f t="shared" si="408"/>
        <v>Tarifs conventionnels assurance maladie</v>
      </c>
      <c r="U2805" t="str">
        <f>"760000539"</f>
        <v>760000539</v>
      </c>
    </row>
    <row r="2806" spans="1:21" x14ac:dyDescent="0.3">
      <c r="A2806" t="str">
        <f>"670782432"</f>
        <v>670782432</v>
      </c>
      <c r="B2806" t="str">
        <f>"311 127 781 00087"</f>
        <v>311 127 781 00087</v>
      </c>
      <c r="D2806" t="str">
        <f>"CTRE SOINS INF.SEEBACH"</f>
        <v>CTRE SOINS INF.SEEBACH</v>
      </c>
      <c r="F2806" t="str">
        <f>"2 RUE DE L'EGLISE"</f>
        <v>2 RUE DE L'EGLISE</v>
      </c>
      <c r="H2806" t="str">
        <f>"67160"</f>
        <v>67160</v>
      </c>
      <c r="I2806" t="str">
        <f>"SEEBACH"</f>
        <v>SEEBACH</v>
      </c>
      <c r="J2806" t="str">
        <f>"03 88 94 74 19 "</f>
        <v xml:space="preserve">03 88 94 74 19 </v>
      </c>
      <c r="L2806" s="1">
        <v>28867</v>
      </c>
      <c r="M2806" t="str">
        <f t="shared" si="403"/>
        <v>124</v>
      </c>
      <c r="N2806" t="str">
        <f t="shared" si="404"/>
        <v>Centre de Santé</v>
      </c>
      <c r="O2806" t="str">
        <f>"63"</f>
        <v>63</v>
      </c>
      <c r="P2806" t="str">
        <f>"Fondation"</f>
        <v>Fondation</v>
      </c>
      <c r="Q2806" t="str">
        <f t="shared" si="407"/>
        <v>36</v>
      </c>
      <c r="R2806" t="str">
        <f t="shared" si="408"/>
        <v>Tarifs conventionnels assurance maladie</v>
      </c>
      <c r="U2806" t="str">
        <f>"670000785"</f>
        <v>670000785</v>
      </c>
    </row>
    <row r="2807" spans="1:21" x14ac:dyDescent="0.3">
      <c r="A2807" t="str">
        <f>"150781888"</f>
        <v>150781888</v>
      </c>
      <c r="B2807" t="str">
        <f>"775 672 272 34438"</f>
        <v>775 672 272 34438</v>
      </c>
      <c r="D2807" t="str">
        <f>"CENTRE DE SOINS INFIRMIERS CRF"</f>
        <v>CENTRE DE SOINS INFIRMIERS CRF</v>
      </c>
      <c r="F2807" t="str">
        <f>"55 AVENUE DE LA REPUBLIQUE"</f>
        <v>55 AVENUE DE LA REPUBLIQUE</v>
      </c>
      <c r="H2807" t="str">
        <f>"15000"</f>
        <v>15000</v>
      </c>
      <c r="I2807" t="str">
        <f>"AURILLAC"</f>
        <v>AURILLAC</v>
      </c>
      <c r="J2807" t="str">
        <f>"04 71 48 09 26 "</f>
        <v xml:space="preserve">04 71 48 09 26 </v>
      </c>
      <c r="K2807" t="str">
        <f>"04 71 48 88 52"</f>
        <v>04 71 48 88 52</v>
      </c>
      <c r="L2807" s="1">
        <v>28856</v>
      </c>
      <c r="M2807" t="str">
        <f t="shared" si="403"/>
        <v>124</v>
      </c>
      <c r="N2807" t="str">
        <f t="shared" si="404"/>
        <v>Centre de Santé</v>
      </c>
      <c r="O2807" t="str">
        <f>"61"</f>
        <v>61</v>
      </c>
      <c r="P2807" t="str">
        <f>"Association Loi 1901 Reconnue d'Utilité Publique"</f>
        <v>Association Loi 1901 Reconnue d'Utilité Publique</v>
      </c>
      <c r="Q2807" t="str">
        <f t="shared" si="407"/>
        <v>36</v>
      </c>
      <c r="R2807" t="str">
        <f t="shared" si="408"/>
        <v>Tarifs conventionnels assurance maladie</v>
      </c>
      <c r="U2807" t="str">
        <f>"750721334"</f>
        <v>750721334</v>
      </c>
    </row>
    <row r="2808" spans="1:21" x14ac:dyDescent="0.3">
      <c r="A2808" t="str">
        <f>"390781086"</f>
        <v>390781086</v>
      </c>
      <c r="B2808" t="str">
        <f>"775 597 487 00286"</f>
        <v>775 597 487 00286</v>
      </c>
      <c r="D2808" t="str">
        <f>"CENTRE DE SANTE INFIRMIER"</f>
        <v>CENTRE DE SANTE INFIRMIER</v>
      </c>
      <c r="F2808" t="str">
        <f>"2 AVENUE DE L'EUROPE"</f>
        <v>2 AVENUE DE L'EUROPE</v>
      </c>
      <c r="H2808" t="str">
        <f>"39500"</f>
        <v>39500</v>
      </c>
      <c r="I2808" t="str">
        <f>"TAVAUX"</f>
        <v>TAVAUX</v>
      </c>
      <c r="J2808" t="str">
        <f>"03 84 81 13 76 "</f>
        <v xml:space="preserve">03 84 81 13 76 </v>
      </c>
      <c r="L2808" s="1">
        <v>28856</v>
      </c>
      <c r="M2808" t="str">
        <f t="shared" si="403"/>
        <v>124</v>
      </c>
      <c r="N2808" t="str">
        <f t="shared" si="404"/>
        <v>Centre de Santé</v>
      </c>
      <c r="O2808" t="str">
        <f>"47"</f>
        <v>47</v>
      </c>
      <c r="P2808" t="str">
        <f>"Société Mutualiste"</f>
        <v>Société Mutualiste</v>
      </c>
      <c r="Q2808" t="str">
        <f t="shared" si="407"/>
        <v>36</v>
      </c>
      <c r="R2808" t="str">
        <f t="shared" si="408"/>
        <v>Tarifs conventionnels assurance maladie</v>
      </c>
      <c r="U2808" t="str">
        <f>"390784007"</f>
        <v>390784007</v>
      </c>
    </row>
    <row r="2809" spans="1:21" x14ac:dyDescent="0.3">
      <c r="A2809" t="str">
        <f>"560023491"</f>
        <v>560023491</v>
      </c>
      <c r="B2809" t="str">
        <f>"314 972 639 00038"</f>
        <v>314 972 639 00038</v>
      </c>
      <c r="D2809" t="str">
        <f>"CDS POLYVALENT D'ALLAIRE"</f>
        <v>CDS POLYVALENT D'ALLAIRE</v>
      </c>
      <c r="F2809" t="str">
        <f>"RUE LE MEUFF"</f>
        <v>RUE LE MEUFF</v>
      </c>
      <c r="H2809" t="str">
        <f>"56350"</f>
        <v>56350</v>
      </c>
      <c r="I2809" t="str">
        <f>"ALLAIRE"</f>
        <v>ALLAIRE</v>
      </c>
      <c r="J2809" t="str">
        <f>"02 99 71 92 60 "</f>
        <v xml:space="preserve">02 99 71 92 60 </v>
      </c>
      <c r="L2809" s="1">
        <v>28856</v>
      </c>
      <c r="M2809" t="str">
        <f t="shared" si="403"/>
        <v>124</v>
      </c>
      <c r="N2809" t="str">
        <f t="shared" si="404"/>
        <v>Centre de Santé</v>
      </c>
      <c r="O2809" t="str">
        <f>"60"</f>
        <v>60</v>
      </c>
      <c r="P2809" t="str">
        <f>"Association Loi 1901 non Reconnue d'Utilité Publique"</f>
        <v>Association Loi 1901 non Reconnue d'Utilité Publique</v>
      </c>
      <c r="Q2809" t="str">
        <f t="shared" si="407"/>
        <v>36</v>
      </c>
      <c r="R2809" t="str">
        <f t="shared" si="408"/>
        <v>Tarifs conventionnels assurance maladie</v>
      </c>
      <c r="U2809" t="str">
        <f>"560001430"</f>
        <v>560001430</v>
      </c>
    </row>
    <row r="2810" spans="1:21" x14ac:dyDescent="0.3">
      <c r="A2810" t="str">
        <f>"830208112"</f>
        <v>830208112</v>
      </c>
      <c r="B2810" t="str">
        <f>"315 281 451 00098"</f>
        <v>315 281 451 00098</v>
      </c>
      <c r="D2810" t="str">
        <f>"CDS DENTAIRE"</f>
        <v>CDS DENTAIRE</v>
      </c>
      <c r="F2810" t="str">
        <f>"38 RUE LAMARTINE"</f>
        <v>38 RUE LAMARTINE</v>
      </c>
      <c r="H2810" t="str">
        <f>"83340"</f>
        <v>83340</v>
      </c>
      <c r="I2810" t="str">
        <f>"LE LUC"</f>
        <v>LE LUC</v>
      </c>
      <c r="J2810" t="str">
        <f>"04 94 60 78 68 "</f>
        <v xml:space="preserve">04 94 60 78 68 </v>
      </c>
      <c r="K2810" t="str">
        <f>"04 94 22 75 65"</f>
        <v>04 94 22 75 65</v>
      </c>
      <c r="L2810" s="1">
        <v>28856</v>
      </c>
      <c r="M2810" t="str">
        <f t="shared" si="403"/>
        <v>124</v>
      </c>
      <c r="N2810" t="str">
        <f t="shared" si="404"/>
        <v>Centre de Santé</v>
      </c>
      <c r="O2810" t="str">
        <f>"47"</f>
        <v>47</v>
      </c>
      <c r="P2810" t="str">
        <f>"Société Mutualiste"</f>
        <v>Société Mutualiste</v>
      </c>
      <c r="Q2810" t="str">
        <f t="shared" si="407"/>
        <v>36</v>
      </c>
      <c r="R2810" t="str">
        <f t="shared" si="408"/>
        <v>Tarifs conventionnels assurance maladie</v>
      </c>
      <c r="U2810" t="str">
        <f>"830210084"</f>
        <v>830210084</v>
      </c>
    </row>
    <row r="2811" spans="1:21" x14ac:dyDescent="0.3">
      <c r="A2811" t="str">
        <f>"670783281"</f>
        <v>670783281</v>
      </c>
      <c r="B2811" t="str">
        <f>"315 385 526 00019"</f>
        <v>315 385 526 00019</v>
      </c>
      <c r="D2811" t="str">
        <f>"CTRE SOINS INFIRM SCHILTIGHEIM"</f>
        <v>CTRE SOINS INFIRM SCHILTIGHEIM</v>
      </c>
      <c r="F2811" t="str">
        <f>"5 PLACE DE L'EGLISE"</f>
        <v>5 PLACE DE L'EGLISE</v>
      </c>
      <c r="H2811" t="str">
        <f>"67300"</f>
        <v>67300</v>
      </c>
      <c r="I2811" t="str">
        <f>"SCHILTIGHEIM"</f>
        <v>SCHILTIGHEIM</v>
      </c>
      <c r="J2811" t="str">
        <f>"03 88 33 15 83 "</f>
        <v xml:space="preserve">03 88 33 15 83 </v>
      </c>
      <c r="L2811" s="1">
        <v>28851</v>
      </c>
      <c r="M2811" t="str">
        <f t="shared" si="403"/>
        <v>124</v>
      </c>
      <c r="N2811" t="str">
        <f t="shared" si="404"/>
        <v>Centre de Santé</v>
      </c>
      <c r="O2811" t="str">
        <f>"62"</f>
        <v>62</v>
      </c>
      <c r="P2811" t="str">
        <f>"Association de Droit Local"</f>
        <v>Association de Droit Local</v>
      </c>
      <c r="Q2811" t="str">
        <f t="shared" si="407"/>
        <v>36</v>
      </c>
      <c r="R2811" t="str">
        <f t="shared" si="408"/>
        <v>Tarifs conventionnels assurance maladie</v>
      </c>
      <c r="U2811" t="str">
        <f>"670000843"</f>
        <v>670000843</v>
      </c>
    </row>
    <row r="2812" spans="1:21" x14ac:dyDescent="0.3">
      <c r="A2812" t="str">
        <f>"350003141"</f>
        <v>350003141</v>
      </c>
      <c r="B2812" t="str">
        <f>"309 470 094 00017"</f>
        <v>309 470 094 00017</v>
      </c>
      <c r="D2812" t="str">
        <f>"CDS INFIRMIERS JOSEPHINE LE BRIS"</f>
        <v>CDS INFIRMIERS JOSEPHINE LE BRIS</v>
      </c>
      <c r="F2812" t="str">
        <f>"48 AVENUE DE LA LIBERATION"</f>
        <v>48 AVENUE DE LA LIBERATION</v>
      </c>
      <c r="H2812" t="str">
        <f>"35270"</f>
        <v>35270</v>
      </c>
      <c r="I2812" t="str">
        <f>"COMBOURG"</f>
        <v>COMBOURG</v>
      </c>
      <c r="J2812" t="str">
        <f>"02 99 73 31 93 "</f>
        <v xml:space="preserve">02 99 73 31 93 </v>
      </c>
      <c r="K2812" t="str">
        <f>"02 99 73 01 13"</f>
        <v>02 99 73 01 13</v>
      </c>
      <c r="L2812" s="1">
        <v>28845</v>
      </c>
      <c r="M2812" t="str">
        <f t="shared" si="403"/>
        <v>124</v>
      </c>
      <c r="N2812" t="str">
        <f t="shared" si="404"/>
        <v>Centre de Santé</v>
      </c>
      <c r="O2812" t="str">
        <f>"61"</f>
        <v>61</v>
      </c>
      <c r="P2812" t="str">
        <f>"Association Loi 1901 Reconnue d'Utilité Publique"</f>
        <v>Association Loi 1901 Reconnue d'Utilité Publique</v>
      </c>
      <c r="Q2812" t="str">
        <f t="shared" si="407"/>
        <v>36</v>
      </c>
      <c r="R2812" t="str">
        <f t="shared" si="408"/>
        <v>Tarifs conventionnels assurance maladie</v>
      </c>
      <c r="U2812" t="str">
        <f>"350000642"</f>
        <v>350000642</v>
      </c>
    </row>
    <row r="2813" spans="1:21" x14ac:dyDescent="0.3">
      <c r="A2813" t="str">
        <f>"350003695"</f>
        <v>350003695</v>
      </c>
      <c r="B2813" t="str">
        <f>"327 448 692 00076"</f>
        <v>327 448 692 00076</v>
      </c>
      <c r="D2813" t="str">
        <f>"CDS INFIRMIERS DE RETIERS"</f>
        <v>CDS INFIRMIERS DE RETIERS</v>
      </c>
      <c r="F2813" t="str">
        <f>"1 RUE DU DOCTEUR LEBASTARD"</f>
        <v>1 RUE DU DOCTEUR LEBASTARD</v>
      </c>
      <c r="H2813" t="str">
        <f>"35240"</f>
        <v>35240</v>
      </c>
      <c r="I2813" t="str">
        <f>"RETIERS"</f>
        <v>RETIERS</v>
      </c>
      <c r="J2813" t="str">
        <f>"02 99 43 52 80 "</f>
        <v xml:space="preserve">02 99 43 52 80 </v>
      </c>
      <c r="K2813" t="str">
        <f>"02 99 43 48 01"</f>
        <v>02 99 43 48 01</v>
      </c>
      <c r="L2813" s="1">
        <v>28845</v>
      </c>
      <c r="M2813" t="str">
        <f t="shared" si="403"/>
        <v>124</v>
      </c>
      <c r="N2813" t="str">
        <f t="shared" si="404"/>
        <v>Centre de Santé</v>
      </c>
      <c r="O2813" t="str">
        <f>"60"</f>
        <v>60</v>
      </c>
      <c r="P2813" t="str">
        <f>"Association Loi 1901 non Reconnue d'Utilité Publique"</f>
        <v>Association Loi 1901 non Reconnue d'Utilité Publique</v>
      </c>
      <c r="Q2813" t="str">
        <f t="shared" si="407"/>
        <v>36</v>
      </c>
      <c r="R2813" t="str">
        <f t="shared" si="408"/>
        <v>Tarifs conventionnels assurance maladie</v>
      </c>
      <c r="U2813" t="str">
        <f>"350041380"</f>
        <v>350041380</v>
      </c>
    </row>
    <row r="2814" spans="1:21" x14ac:dyDescent="0.3">
      <c r="A2814" t="str">
        <f>"810101972"</f>
        <v>810101972</v>
      </c>
      <c r="B2814" t="str">
        <f>"775 711 674 00173"</f>
        <v>775 711 674 00173</v>
      </c>
      <c r="D2814" t="str">
        <f>"CTRE DENT MUT CARMAUX"</f>
        <v>CTRE DENT MUT CARMAUX</v>
      </c>
      <c r="F2814" t="str">
        <f>"50 AVENUE JEAN JAURES"</f>
        <v>50 AVENUE JEAN JAURES</v>
      </c>
      <c r="H2814" t="str">
        <f>"81400"</f>
        <v>81400</v>
      </c>
      <c r="I2814" t="str">
        <f>"CARMAUX"</f>
        <v>CARMAUX</v>
      </c>
      <c r="J2814" t="str">
        <f>"05 63 76 54 15 "</f>
        <v xml:space="preserve">05 63 76 54 15 </v>
      </c>
      <c r="L2814" s="1">
        <v>28838</v>
      </c>
      <c r="M2814" t="str">
        <f t="shared" si="403"/>
        <v>124</v>
      </c>
      <c r="N2814" t="str">
        <f t="shared" si="404"/>
        <v>Centre de Santé</v>
      </c>
      <c r="O2814" t="str">
        <f>"47"</f>
        <v>47</v>
      </c>
      <c r="P2814" t="str">
        <f>"Société Mutualiste"</f>
        <v>Société Mutualiste</v>
      </c>
      <c r="Q2814" t="str">
        <f t="shared" si="407"/>
        <v>36</v>
      </c>
      <c r="R2814" t="str">
        <f t="shared" si="408"/>
        <v>Tarifs conventionnels assurance maladie</v>
      </c>
      <c r="U2814" t="str">
        <f>"810099903"</f>
        <v>810099903</v>
      </c>
    </row>
    <row r="2815" spans="1:21" x14ac:dyDescent="0.3">
      <c r="A2815" t="str">
        <f>"250002425"</f>
        <v>250002425</v>
      </c>
      <c r="B2815" t="str">
        <f>"326 519 139 00033"</f>
        <v>326 519 139 00033</v>
      </c>
      <c r="D2815" t="str">
        <f>"CENTRE SOINS INFIRMIERS PONTARLIER"</f>
        <v>CENTRE SOINS INFIRMIERS PONTARLIER</v>
      </c>
      <c r="F2815" t="str">
        <f>"3 RUE DU PARC"</f>
        <v>3 RUE DU PARC</v>
      </c>
      <c r="H2815" t="str">
        <f>"25300"</f>
        <v>25300</v>
      </c>
      <c r="I2815" t="str">
        <f>"PONTARLIER"</f>
        <v>PONTARLIER</v>
      </c>
      <c r="J2815" t="str">
        <f>"03 81 46 70 21 "</f>
        <v xml:space="preserve">03 81 46 70 21 </v>
      </c>
      <c r="K2815" t="str">
        <f>"03 81 46 70 21"</f>
        <v>03 81 46 70 21</v>
      </c>
      <c r="L2815" s="1">
        <v>28829</v>
      </c>
      <c r="M2815" t="str">
        <f t="shared" si="403"/>
        <v>124</v>
      </c>
      <c r="N2815" t="str">
        <f t="shared" si="404"/>
        <v>Centre de Santé</v>
      </c>
      <c r="O2815" t="str">
        <f t="shared" ref="O2815:O2820" si="409">"60"</f>
        <v>60</v>
      </c>
      <c r="P2815" t="str">
        <f t="shared" ref="P2815:P2820" si="410">"Association Loi 1901 non Reconnue d'Utilité Publique"</f>
        <v>Association Loi 1901 non Reconnue d'Utilité Publique</v>
      </c>
      <c r="Q2815" t="str">
        <f t="shared" si="407"/>
        <v>36</v>
      </c>
      <c r="R2815" t="str">
        <f t="shared" si="408"/>
        <v>Tarifs conventionnels assurance maladie</v>
      </c>
      <c r="U2815" t="str">
        <f>"250001773"</f>
        <v>250001773</v>
      </c>
    </row>
    <row r="2816" spans="1:21" x14ac:dyDescent="0.3">
      <c r="A2816" t="str">
        <f>"490530904"</f>
        <v>490530904</v>
      </c>
      <c r="B2816" t="str">
        <f>"480 197 615 00028"</f>
        <v>480 197 615 00028</v>
      </c>
      <c r="D2816" t="str">
        <f>"CENTRE DE SANTE INFIRMIERS VAL DU LOIR"</f>
        <v>CENTRE DE SANTE INFIRMIERS VAL DU LOIR</v>
      </c>
      <c r="F2816" t="str">
        <f>"25 RUE ROCHEFOUCAULD"</f>
        <v>25 RUE ROCHEFOUCAULD</v>
      </c>
      <c r="H2816" t="str">
        <f>"49430"</f>
        <v>49430</v>
      </c>
      <c r="I2816" t="str">
        <f>"DURTAL"</f>
        <v>DURTAL</v>
      </c>
      <c r="J2816" t="str">
        <f>"02 41 76 34 15 "</f>
        <v xml:space="preserve">02 41 76 34 15 </v>
      </c>
      <c r="L2816" s="1">
        <v>28829</v>
      </c>
      <c r="M2816" t="str">
        <f t="shared" si="403"/>
        <v>124</v>
      </c>
      <c r="N2816" t="str">
        <f t="shared" si="404"/>
        <v>Centre de Santé</v>
      </c>
      <c r="O2816" t="str">
        <f t="shared" si="409"/>
        <v>60</v>
      </c>
      <c r="P2816" t="str">
        <f t="shared" si="410"/>
        <v>Association Loi 1901 non Reconnue d'Utilité Publique</v>
      </c>
      <c r="Q2816" t="str">
        <f t="shared" si="407"/>
        <v>36</v>
      </c>
      <c r="R2816" t="str">
        <f t="shared" si="408"/>
        <v>Tarifs conventionnels assurance maladie</v>
      </c>
      <c r="U2816" t="str">
        <f>"490016144"</f>
        <v>490016144</v>
      </c>
    </row>
    <row r="2817" spans="1:21" x14ac:dyDescent="0.3">
      <c r="A2817" t="str">
        <f>"440011724"</f>
        <v>440011724</v>
      </c>
      <c r="B2817" t="str">
        <f>"333 160 018 00029"</f>
        <v>333 160 018 00029</v>
      </c>
      <c r="D2817" t="str">
        <f>"CENTRE DE SANTE SECTEUR BRIERE"</f>
        <v>CENTRE DE SANTE SECTEUR BRIERE</v>
      </c>
      <c r="F2817" t="str">
        <f>"114 RUE JOLIOT CURIE"</f>
        <v>114 RUE JOLIOT CURIE</v>
      </c>
      <c r="H2817" t="str">
        <f>"44720"</f>
        <v>44720</v>
      </c>
      <c r="I2817" t="str">
        <f>"ST JOACHIM"</f>
        <v>ST JOACHIM</v>
      </c>
      <c r="J2817" t="str">
        <f>"02 40 88 43 02 "</f>
        <v xml:space="preserve">02 40 88 43 02 </v>
      </c>
      <c r="L2817" s="1">
        <v>28828</v>
      </c>
      <c r="M2817" t="str">
        <f t="shared" si="403"/>
        <v>124</v>
      </c>
      <c r="N2817" t="str">
        <f t="shared" si="404"/>
        <v>Centre de Santé</v>
      </c>
      <c r="O2817" t="str">
        <f t="shared" si="409"/>
        <v>60</v>
      </c>
      <c r="P2817" t="str">
        <f t="shared" si="410"/>
        <v>Association Loi 1901 non Reconnue d'Utilité Publique</v>
      </c>
      <c r="Q2817" t="str">
        <f t="shared" si="407"/>
        <v>36</v>
      </c>
      <c r="R2817" t="str">
        <f t="shared" si="408"/>
        <v>Tarifs conventionnels assurance maladie</v>
      </c>
      <c r="U2817" t="str">
        <f>"440003895"</f>
        <v>440003895</v>
      </c>
    </row>
    <row r="2818" spans="1:21" x14ac:dyDescent="0.3">
      <c r="A2818" t="str">
        <f>"850011438"</f>
        <v>850011438</v>
      </c>
      <c r="B2818" t="str">
        <f>"316 744 176 00017"</f>
        <v>316 744 176 00017</v>
      </c>
      <c r="D2818" t="str">
        <f>"CSI ST MICHEL EN L'HERM"</f>
        <v>CSI ST MICHEL EN L'HERM</v>
      </c>
      <c r="F2818" t="str">
        <f>"9 RUE DE L'EGLISE"</f>
        <v>9 RUE DE L'EGLISE</v>
      </c>
      <c r="H2818" t="str">
        <f>"85580"</f>
        <v>85580</v>
      </c>
      <c r="I2818" t="str">
        <f>"ST MICHEL EN L HERM"</f>
        <v>ST MICHEL EN L HERM</v>
      </c>
      <c r="J2818" t="str">
        <f>"02 51 30 22 30 "</f>
        <v xml:space="preserve">02 51 30 22 30 </v>
      </c>
      <c r="L2818" s="1">
        <v>28797</v>
      </c>
      <c r="M2818" t="str">
        <f t="shared" ref="M2818:M2881" si="411">"124"</f>
        <v>124</v>
      </c>
      <c r="N2818" t="str">
        <f t="shared" ref="N2818:N2881" si="412">"Centre de Santé"</f>
        <v>Centre de Santé</v>
      </c>
      <c r="O2818" t="str">
        <f t="shared" si="409"/>
        <v>60</v>
      </c>
      <c r="P2818" t="str">
        <f t="shared" si="410"/>
        <v>Association Loi 1901 non Reconnue d'Utilité Publique</v>
      </c>
      <c r="Q2818" t="str">
        <f t="shared" si="407"/>
        <v>36</v>
      </c>
      <c r="R2818" t="str">
        <f t="shared" si="408"/>
        <v>Tarifs conventionnels assurance maladie</v>
      </c>
      <c r="U2818" t="str">
        <f>"850013137"</f>
        <v>850013137</v>
      </c>
    </row>
    <row r="2819" spans="1:21" x14ac:dyDescent="0.3">
      <c r="A2819" t="str">
        <f>"460780471"</f>
        <v>460780471</v>
      </c>
      <c r="B2819" t="str">
        <f>"318 355 955 00051"</f>
        <v>318 355 955 00051</v>
      </c>
      <c r="D2819" t="str">
        <f>"CENTRE DE SANTE INFIRMIERS"</f>
        <v>CENTRE DE SANTE INFIRMIERS</v>
      </c>
      <c r="F2819" t="str">
        <f>"498 RUE WILSON"</f>
        <v>498 RUE WILSON</v>
      </c>
      <c r="H2819" t="str">
        <f>"46000"</f>
        <v>46000</v>
      </c>
      <c r="I2819" t="str">
        <f>"CAHORS"</f>
        <v>CAHORS</v>
      </c>
      <c r="J2819" t="str">
        <f>"05 65 35 11 51 "</f>
        <v xml:space="preserve">05 65 35 11 51 </v>
      </c>
      <c r="K2819" t="str">
        <f>"05 65 35 81 05"</f>
        <v>05 65 35 81 05</v>
      </c>
      <c r="L2819" s="1">
        <v>28794</v>
      </c>
      <c r="M2819" t="str">
        <f t="shared" si="411"/>
        <v>124</v>
      </c>
      <c r="N2819" t="str">
        <f t="shared" si="412"/>
        <v>Centre de Santé</v>
      </c>
      <c r="O2819" t="str">
        <f t="shared" si="409"/>
        <v>60</v>
      </c>
      <c r="P2819" t="str">
        <f t="shared" si="410"/>
        <v>Association Loi 1901 non Reconnue d'Utilité Publique</v>
      </c>
      <c r="Q2819" t="str">
        <f t="shared" si="407"/>
        <v>36</v>
      </c>
      <c r="R2819" t="str">
        <f t="shared" si="408"/>
        <v>Tarifs conventionnels assurance maladie</v>
      </c>
      <c r="U2819" t="str">
        <f>"460785223"</f>
        <v>460785223</v>
      </c>
    </row>
    <row r="2820" spans="1:21" x14ac:dyDescent="0.3">
      <c r="A2820" t="str">
        <f>"560003741"</f>
        <v>560003741</v>
      </c>
      <c r="B2820" t="str">
        <f>"320 673 718 00013"</f>
        <v>320 673 718 00013</v>
      </c>
      <c r="D2820" t="str">
        <f>"CDS PONDI INFIRMIERS"</f>
        <v>CDS PONDI INFIRMIERS</v>
      </c>
      <c r="F2820" t="str">
        <f>"1 RUE D' IENA"</f>
        <v>1 RUE D' IENA</v>
      </c>
      <c r="H2820" t="str">
        <f>"56300"</f>
        <v>56300</v>
      </c>
      <c r="I2820" t="str">
        <f>"PONTIVY"</f>
        <v>PONTIVY</v>
      </c>
      <c r="J2820" t="str">
        <f>"02 97 25 04 73 "</f>
        <v xml:space="preserve">02 97 25 04 73 </v>
      </c>
      <c r="K2820" t="str">
        <f>"02 97 79 14 06"</f>
        <v>02 97 79 14 06</v>
      </c>
      <c r="L2820" s="1">
        <v>28791</v>
      </c>
      <c r="M2820" t="str">
        <f t="shared" si="411"/>
        <v>124</v>
      </c>
      <c r="N2820" t="str">
        <f t="shared" si="412"/>
        <v>Centre de Santé</v>
      </c>
      <c r="O2820" t="str">
        <f t="shared" si="409"/>
        <v>60</v>
      </c>
      <c r="P2820" t="str">
        <f t="shared" si="410"/>
        <v>Association Loi 1901 non Reconnue d'Utilité Publique</v>
      </c>
      <c r="Q2820" t="str">
        <f t="shared" si="407"/>
        <v>36</v>
      </c>
      <c r="R2820" t="str">
        <f t="shared" si="408"/>
        <v>Tarifs conventionnels assurance maladie</v>
      </c>
      <c r="U2820" t="str">
        <f>"560003733"</f>
        <v>560003733</v>
      </c>
    </row>
    <row r="2821" spans="1:21" x14ac:dyDescent="0.3">
      <c r="A2821" t="str">
        <f>"120782230"</f>
        <v>120782230</v>
      </c>
      <c r="B2821" t="str">
        <f>"442 491 197 00517"</f>
        <v>442 491 197 00517</v>
      </c>
      <c r="D2821" t="str">
        <f>"CTRE SOINS INFIRM MUR DE BARREZ UDSMA"</f>
        <v>CTRE SOINS INFIRM MUR DE BARREZ UDSMA</v>
      </c>
      <c r="F2821" t="str">
        <f>"AVENUE DU CARDINAL VERDIER"</f>
        <v>AVENUE DU CARDINAL VERDIER</v>
      </c>
      <c r="H2821" t="str">
        <f>"12600"</f>
        <v>12600</v>
      </c>
      <c r="I2821" t="str">
        <f>"MUR DE BARREZ"</f>
        <v>MUR DE BARREZ</v>
      </c>
      <c r="J2821" t="str">
        <f>"05 65 66 03 42 "</f>
        <v xml:space="preserve">05 65 66 03 42 </v>
      </c>
      <c r="K2821" t="str">
        <f>"05 65 66 30 17"</f>
        <v>05 65 66 30 17</v>
      </c>
      <c r="L2821" s="1">
        <v>28790</v>
      </c>
      <c r="M2821" t="str">
        <f t="shared" si="411"/>
        <v>124</v>
      </c>
      <c r="N2821" t="str">
        <f t="shared" si="412"/>
        <v>Centre de Santé</v>
      </c>
      <c r="O2821" t="str">
        <f>"47"</f>
        <v>47</v>
      </c>
      <c r="P2821" t="str">
        <f>"Société Mutualiste"</f>
        <v>Société Mutualiste</v>
      </c>
      <c r="Q2821" t="str">
        <f t="shared" si="407"/>
        <v>36</v>
      </c>
      <c r="R2821" t="str">
        <f t="shared" si="408"/>
        <v>Tarifs conventionnels assurance maladie</v>
      </c>
      <c r="U2821" t="str">
        <f>"120784616"</f>
        <v>120784616</v>
      </c>
    </row>
    <row r="2822" spans="1:21" x14ac:dyDescent="0.3">
      <c r="A2822" t="str">
        <f>"460785470"</f>
        <v>460785470</v>
      </c>
      <c r="B2822" t="str">
        <f>"329 651 376 00090"</f>
        <v>329 651 376 00090</v>
      </c>
      <c r="D2822" t="str">
        <f>"CSI ESPOIR ET SANTE APEAI ADAR"</f>
        <v>CSI ESPOIR ET SANTE APEAI ADAR</v>
      </c>
      <c r="E2822" t="str">
        <f>"ESPOIR ET SANTE"</f>
        <v>ESPOIR ET SANTE</v>
      </c>
      <c r="F2822" t="str">
        <f>"10 AVENUE DES CARMES"</f>
        <v>10 AVENUE DES CARMES</v>
      </c>
      <c r="G2822" t="str">
        <f>"BP 90059"</f>
        <v>BP 90059</v>
      </c>
      <c r="H2822" t="str">
        <f>"46102"</f>
        <v>46102</v>
      </c>
      <c r="I2822" t="str">
        <f>"FIGEAC CEDEX"</f>
        <v>FIGEAC CEDEX</v>
      </c>
      <c r="J2822" t="str">
        <f>"05 65 34 41 25 "</f>
        <v xml:space="preserve">05 65 34 41 25 </v>
      </c>
      <c r="K2822" t="str">
        <f>"05 65 34 86 86"</f>
        <v>05 65 34 86 86</v>
      </c>
      <c r="L2822" s="1">
        <v>28790</v>
      </c>
      <c r="M2822" t="str">
        <f t="shared" si="411"/>
        <v>124</v>
      </c>
      <c r="N2822" t="str">
        <f t="shared" si="412"/>
        <v>Centre de Santé</v>
      </c>
      <c r="O2822" t="str">
        <f>"61"</f>
        <v>61</v>
      </c>
      <c r="P2822" t="str">
        <f>"Association Loi 1901 Reconnue d'Utilité Publique"</f>
        <v>Association Loi 1901 Reconnue d'Utilité Publique</v>
      </c>
      <c r="Q2822" t="str">
        <f t="shared" si="407"/>
        <v>36</v>
      </c>
      <c r="R2822" t="str">
        <f t="shared" si="408"/>
        <v>Tarifs conventionnels assurance maladie</v>
      </c>
      <c r="U2822" t="str">
        <f>"460785124"</f>
        <v>460785124</v>
      </c>
    </row>
    <row r="2823" spans="1:21" x14ac:dyDescent="0.3">
      <c r="A2823" t="str">
        <f>"620106435"</f>
        <v>620106435</v>
      </c>
      <c r="B2823" t="str">
        <f>"312 126 758 00027"</f>
        <v>312 126 758 00027</v>
      </c>
      <c r="D2823" t="str">
        <f>"CENTRE DE SOINS INFIRMIERS"</f>
        <v>CENTRE DE SOINS INFIRMIERS</v>
      </c>
      <c r="F2823" t="str">
        <f>"4 RUE FOSSE CAVE"</f>
        <v>4 RUE FOSSE CAVE</v>
      </c>
      <c r="H2823" t="str">
        <f>"62190"</f>
        <v>62190</v>
      </c>
      <c r="I2823" t="str">
        <f>"LILLERS"</f>
        <v>LILLERS</v>
      </c>
      <c r="J2823" t="str">
        <f>"03 21 02 23 97 "</f>
        <v xml:space="preserve">03 21 02 23 97 </v>
      </c>
      <c r="L2823" s="1">
        <v>28776</v>
      </c>
      <c r="M2823" t="str">
        <f t="shared" si="411"/>
        <v>124</v>
      </c>
      <c r="N2823" t="str">
        <f t="shared" si="412"/>
        <v>Centre de Santé</v>
      </c>
      <c r="O2823" t="str">
        <f>"61"</f>
        <v>61</v>
      </c>
      <c r="P2823" t="str">
        <f>"Association Loi 1901 Reconnue d'Utilité Publique"</f>
        <v>Association Loi 1901 Reconnue d'Utilité Publique</v>
      </c>
      <c r="Q2823" t="str">
        <f t="shared" si="407"/>
        <v>36</v>
      </c>
      <c r="R2823" t="str">
        <f t="shared" si="408"/>
        <v>Tarifs conventionnels assurance maladie</v>
      </c>
      <c r="U2823" t="str">
        <f>"620001222"</f>
        <v>620001222</v>
      </c>
    </row>
    <row r="2824" spans="1:21" x14ac:dyDescent="0.3">
      <c r="A2824" t="str">
        <f>"590784260"</f>
        <v>590784260</v>
      </c>
      <c r="B2824" t="str">
        <f>"344 138 714 00128"</f>
        <v>344 138 714 00128</v>
      </c>
      <c r="D2824" t="str">
        <f>"CENTRE DE SANTÉ NOTRE DAME DE FIEF"</f>
        <v>CENTRE DE SANTÉ NOTRE DAME DE FIEF</v>
      </c>
      <c r="F2824" t="str">
        <f>"20 GRAND PLACE  APPT 2"</f>
        <v>20 GRAND PLACE  APPT 2</v>
      </c>
      <c r="H2824" t="str">
        <f>"59670"</f>
        <v>59670</v>
      </c>
      <c r="I2824" t="str">
        <f>"CASSEL"</f>
        <v>CASSEL</v>
      </c>
      <c r="J2824" t="str">
        <f>"03 28 40 58 08 "</f>
        <v xml:space="preserve">03 28 40 58 08 </v>
      </c>
      <c r="L2824" s="1">
        <v>28775</v>
      </c>
      <c r="M2824" t="str">
        <f t="shared" si="411"/>
        <v>124</v>
      </c>
      <c r="N2824" t="str">
        <f t="shared" si="412"/>
        <v>Centre de Santé</v>
      </c>
      <c r="O2824" t="str">
        <f>"60"</f>
        <v>60</v>
      </c>
      <c r="P2824" t="str">
        <f>"Association Loi 1901 non Reconnue d'Utilité Publique"</f>
        <v>Association Loi 1901 non Reconnue d'Utilité Publique</v>
      </c>
      <c r="Q2824" t="str">
        <f t="shared" si="407"/>
        <v>36</v>
      </c>
      <c r="R2824" t="str">
        <f t="shared" si="408"/>
        <v>Tarifs conventionnels assurance maladie</v>
      </c>
      <c r="U2824" t="str">
        <f>"590800066"</f>
        <v>590800066</v>
      </c>
    </row>
    <row r="2825" spans="1:21" x14ac:dyDescent="0.3">
      <c r="A2825" t="str">
        <f>"590791372"</f>
        <v>590791372</v>
      </c>
      <c r="B2825" t="str">
        <f>"783 623 333 00037"</f>
        <v>783 623 333 00037</v>
      </c>
      <c r="D2825" t="str">
        <f>"CENTRE DE SOINS INFIRMIERS"</f>
        <v>CENTRE DE SOINS INFIRMIERS</v>
      </c>
      <c r="F2825" t="str">
        <f>"17 BOULEVARD KENNEDY"</f>
        <v>17 BOULEVARD KENNEDY</v>
      </c>
      <c r="H2825" t="str">
        <f>"59220"</f>
        <v>59220</v>
      </c>
      <c r="I2825" t="str">
        <f>"DENAIN"</f>
        <v>DENAIN</v>
      </c>
      <c r="J2825" t="str">
        <f>"03 27 44 06 23 "</f>
        <v xml:space="preserve">03 27 44 06 23 </v>
      </c>
      <c r="L2825" s="1">
        <v>28775</v>
      </c>
      <c r="M2825" t="str">
        <f t="shared" si="411"/>
        <v>124</v>
      </c>
      <c r="N2825" t="str">
        <f t="shared" si="412"/>
        <v>Centre de Santé</v>
      </c>
      <c r="O2825" t="str">
        <f>"60"</f>
        <v>60</v>
      </c>
      <c r="P2825" t="str">
        <f>"Association Loi 1901 non Reconnue d'Utilité Publique"</f>
        <v>Association Loi 1901 non Reconnue d'Utilité Publique</v>
      </c>
      <c r="Q2825" t="str">
        <f t="shared" si="407"/>
        <v>36</v>
      </c>
      <c r="R2825" t="str">
        <f t="shared" si="408"/>
        <v>Tarifs conventionnels assurance maladie</v>
      </c>
      <c r="U2825" t="str">
        <f>"590799458"</f>
        <v>590799458</v>
      </c>
    </row>
    <row r="2826" spans="1:21" x14ac:dyDescent="0.3">
      <c r="A2826" t="str">
        <f>"850008053"</f>
        <v>850008053</v>
      </c>
      <c r="B2826" t="str">
        <f>"313 956 229 00014"</f>
        <v>313 956 229 00014</v>
      </c>
      <c r="D2826" t="str">
        <f>"CENTRE DE SOINS INFIRMIERS DE PALLUAU"</f>
        <v>CENTRE DE SOINS INFIRMIERS DE PALLUAU</v>
      </c>
      <c r="F2826" t="str">
        <f>"8 RUE DU MOULIN DU TERRIER"</f>
        <v>8 RUE DU MOULIN DU TERRIER</v>
      </c>
      <c r="H2826" t="str">
        <f>"85670"</f>
        <v>85670</v>
      </c>
      <c r="I2826" t="str">
        <f>"PALLUAU"</f>
        <v>PALLUAU</v>
      </c>
      <c r="J2826" t="str">
        <f>"02 51 98 54 78 "</f>
        <v xml:space="preserve">02 51 98 54 78 </v>
      </c>
      <c r="L2826" s="1">
        <v>28775</v>
      </c>
      <c r="M2826" t="str">
        <f t="shared" si="411"/>
        <v>124</v>
      </c>
      <c r="N2826" t="str">
        <f t="shared" si="412"/>
        <v>Centre de Santé</v>
      </c>
      <c r="O2826" t="str">
        <f>"60"</f>
        <v>60</v>
      </c>
      <c r="P2826" t="str">
        <f>"Association Loi 1901 non Reconnue d'Utilité Publique"</f>
        <v>Association Loi 1901 non Reconnue d'Utilité Publique</v>
      </c>
      <c r="Q2826" t="str">
        <f t="shared" si="407"/>
        <v>36</v>
      </c>
      <c r="R2826" t="str">
        <f t="shared" si="408"/>
        <v>Tarifs conventionnels assurance maladie</v>
      </c>
      <c r="U2826" t="str">
        <f>"850014119"</f>
        <v>850014119</v>
      </c>
    </row>
    <row r="2827" spans="1:21" x14ac:dyDescent="0.3">
      <c r="A2827" t="str">
        <f>"670782481"</f>
        <v>670782481</v>
      </c>
      <c r="B2827" t="str">
        <f>"314 091 778 00014"</f>
        <v>314 091 778 00014</v>
      </c>
      <c r="D2827" t="str">
        <f>"CTRE SOINS INFIRMIERS MERTZWILLER"</f>
        <v>CTRE SOINS INFIRMIERS MERTZWILLER</v>
      </c>
      <c r="F2827" t="str">
        <f>"6 PLACE DE LA LIBERTE"</f>
        <v>6 PLACE DE LA LIBERTE</v>
      </c>
      <c r="H2827" t="str">
        <f>"67580"</f>
        <v>67580</v>
      </c>
      <c r="I2827" t="str">
        <f>"MERTZWILLER"</f>
        <v>MERTZWILLER</v>
      </c>
      <c r="J2827" t="str">
        <f>"03 88 90 31 79 "</f>
        <v xml:space="preserve">03 88 90 31 79 </v>
      </c>
      <c r="L2827" s="1">
        <v>28770</v>
      </c>
      <c r="M2827" t="str">
        <f t="shared" si="411"/>
        <v>124</v>
      </c>
      <c r="N2827" t="str">
        <f t="shared" si="412"/>
        <v>Centre de Santé</v>
      </c>
      <c r="O2827" t="str">
        <f>"62"</f>
        <v>62</v>
      </c>
      <c r="P2827" t="str">
        <f>"Association de Droit Local"</f>
        <v>Association de Droit Local</v>
      </c>
      <c r="Q2827" t="str">
        <f t="shared" si="407"/>
        <v>36</v>
      </c>
      <c r="R2827" t="str">
        <f t="shared" si="408"/>
        <v>Tarifs conventionnels assurance maladie</v>
      </c>
      <c r="U2827" t="str">
        <f>"670000728"</f>
        <v>670000728</v>
      </c>
    </row>
    <row r="2828" spans="1:21" x14ac:dyDescent="0.3">
      <c r="A2828" t="str">
        <f>"850003039"</f>
        <v>850003039</v>
      </c>
      <c r="B2828" t="str">
        <f>"823 401 740 00019"</f>
        <v>823 401 740 00019</v>
      </c>
      <c r="D2828" t="str">
        <f>"CSI LA CHAIZE LE VICOMTE"</f>
        <v>CSI LA CHAIZE LE VICOMTE</v>
      </c>
      <c r="F2828" t="str">
        <f>"2 PLACE DU CHAMP DE FOIRE"</f>
        <v>2 PLACE DU CHAMP DE FOIRE</v>
      </c>
      <c r="H2828" t="str">
        <f>"85310"</f>
        <v>85310</v>
      </c>
      <c r="I2828" t="str">
        <f>"LA CHAIZE LE VICOMTE"</f>
        <v>LA CHAIZE LE VICOMTE</v>
      </c>
      <c r="J2828" t="str">
        <f>"02 51 05 70 55 "</f>
        <v xml:space="preserve">02 51 05 70 55 </v>
      </c>
      <c r="L2828" s="1">
        <v>28768</v>
      </c>
      <c r="M2828" t="str">
        <f t="shared" si="411"/>
        <v>124</v>
      </c>
      <c r="N2828" t="str">
        <f t="shared" si="412"/>
        <v>Centre de Santé</v>
      </c>
      <c r="O2828" t="str">
        <f>"60"</f>
        <v>60</v>
      </c>
      <c r="P2828" t="str">
        <f>"Association Loi 1901 non Reconnue d'Utilité Publique"</f>
        <v>Association Loi 1901 non Reconnue d'Utilité Publique</v>
      </c>
      <c r="Q2828" t="str">
        <f t="shared" si="407"/>
        <v>36</v>
      </c>
      <c r="R2828" t="str">
        <f t="shared" si="408"/>
        <v>Tarifs conventionnels assurance maladie</v>
      </c>
      <c r="U2828" t="str">
        <f>"850005570"</f>
        <v>850005570</v>
      </c>
    </row>
    <row r="2829" spans="1:21" x14ac:dyDescent="0.3">
      <c r="A2829" t="str">
        <f>"670782523"</f>
        <v>670782523</v>
      </c>
      <c r="B2829" t="str">
        <f>"314 091 778 00022"</f>
        <v>314 091 778 00022</v>
      </c>
      <c r="D2829" t="str">
        <f>"ANT.CSI MERTZWILLER À LA WALCK"</f>
        <v>ANT.CSI MERTZWILLER À LA WALCK</v>
      </c>
      <c r="F2829" t="str">
        <f>"2 RUE D'UBERACH"</f>
        <v>2 RUE D'UBERACH</v>
      </c>
      <c r="G2829" t="str">
        <f>"LA WALCK"</f>
        <v>LA WALCK</v>
      </c>
      <c r="H2829" t="str">
        <f>"67350"</f>
        <v>67350</v>
      </c>
      <c r="I2829" t="str">
        <f>"VAL DE MODER"</f>
        <v>VAL DE MODER</v>
      </c>
      <c r="J2829" t="str">
        <f>"03 88 90 73 90 "</f>
        <v xml:space="preserve">03 88 90 73 90 </v>
      </c>
      <c r="L2829" s="1">
        <v>28767</v>
      </c>
      <c r="M2829" t="str">
        <f t="shared" si="411"/>
        <v>124</v>
      </c>
      <c r="N2829" t="str">
        <f t="shared" si="412"/>
        <v>Centre de Santé</v>
      </c>
      <c r="O2829" t="str">
        <f>"62"</f>
        <v>62</v>
      </c>
      <c r="P2829" t="str">
        <f>"Association de Droit Local"</f>
        <v>Association de Droit Local</v>
      </c>
      <c r="Q2829" t="str">
        <f t="shared" si="407"/>
        <v>36</v>
      </c>
      <c r="R2829" t="str">
        <f t="shared" si="408"/>
        <v>Tarifs conventionnels assurance maladie</v>
      </c>
      <c r="U2829" t="str">
        <f>"670000728"</f>
        <v>670000728</v>
      </c>
    </row>
    <row r="2830" spans="1:21" x14ac:dyDescent="0.3">
      <c r="A2830" t="str">
        <f>"850002304"</f>
        <v>850002304</v>
      </c>
      <c r="B2830" t="str">
        <f>"314 009 515 00060"</f>
        <v>314 009 515 00060</v>
      </c>
      <c r="D2830" t="str">
        <f>"CSI ASSOCIATION SANTE SOINS"</f>
        <v>CSI ASSOCIATION SANTE SOINS</v>
      </c>
      <c r="F2830" t="str">
        <f>"55 BOULEVARD EDOUARD BRANLY"</f>
        <v>55 BOULEVARD EDOUARD BRANLY</v>
      </c>
      <c r="H2830" t="str">
        <f>"85000"</f>
        <v>85000</v>
      </c>
      <c r="I2830" t="str">
        <f>"LA ROCHE SUR YON"</f>
        <v>LA ROCHE SUR YON</v>
      </c>
      <c r="J2830" t="str">
        <f>"02 51 37 78 21 "</f>
        <v xml:space="preserve">02 51 37 78 21 </v>
      </c>
      <c r="K2830" t="str">
        <f>"02 51 37 77 97"</f>
        <v>02 51 37 77 97</v>
      </c>
      <c r="L2830" s="1">
        <v>28766</v>
      </c>
      <c r="M2830" t="str">
        <f t="shared" si="411"/>
        <v>124</v>
      </c>
      <c r="N2830" t="str">
        <f t="shared" si="412"/>
        <v>Centre de Santé</v>
      </c>
      <c r="O2830" t="str">
        <f>"60"</f>
        <v>60</v>
      </c>
      <c r="P2830" t="str">
        <f>"Association Loi 1901 non Reconnue d'Utilité Publique"</f>
        <v>Association Loi 1901 non Reconnue d'Utilité Publique</v>
      </c>
      <c r="Q2830" t="str">
        <f t="shared" si="407"/>
        <v>36</v>
      </c>
      <c r="R2830" t="str">
        <f t="shared" si="408"/>
        <v>Tarifs conventionnels assurance maladie</v>
      </c>
      <c r="U2830" t="str">
        <f>"850013129"</f>
        <v>850013129</v>
      </c>
    </row>
    <row r="2831" spans="1:21" x14ac:dyDescent="0.3">
      <c r="A2831" t="str">
        <f>"850002387"</f>
        <v>850002387</v>
      </c>
      <c r="B2831" t="str">
        <f>"317 003 010 00020"</f>
        <v>317 003 010 00020</v>
      </c>
      <c r="D2831" t="str">
        <f>"CENTRE DE SANTE PLURIPROFESSIONNEL"</f>
        <v>CENTRE DE SANTE PLURIPROFESSIONNEL</v>
      </c>
      <c r="F2831" t="str">
        <f>"24 RUE DE LA PRISE D'EAU"</f>
        <v>24 RUE DE LA PRISE D'EAU</v>
      </c>
      <c r="H2831" t="str">
        <f>"85500"</f>
        <v>85500</v>
      </c>
      <c r="I2831" t="str">
        <f>"LES HERBIERS"</f>
        <v>LES HERBIERS</v>
      </c>
      <c r="J2831" t="str">
        <f>"02 51 67 10 43 "</f>
        <v xml:space="preserve">02 51 67 10 43 </v>
      </c>
      <c r="L2831" s="1">
        <v>28766</v>
      </c>
      <c r="M2831" t="str">
        <f t="shared" si="411"/>
        <v>124</v>
      </c>
      <c r="N2831" t="str">
        <f t="shared" si="412"/>
        <v>Centre de Santé</v>
      </c>
      <c r="O2831" t="str">
        <f>"60"</f>
        <v>60</v>
      </c>
      <c r="P2831" t="str">
        <f>"Association Loi 1901 non Reconnue d'Utilité Publique"</f>
        <v>Association Loi 1901 non Reconnue d'Utilité Publique</v>
      </c>
      <c r="Q2831" t="str">
        <f t="shared" si="407"/>
        <v>36</v>
      </c>
      <c r="R2831" t="str">
        <f t="shared" si="408"/>
        <v>Tarifs conventionnels assurance maladie</v>
      </c>
      <c r="U2831" t="str">
        <f>"850006396"</f>
        <v>850006396</v>
      </c>
    </row>
    <row r="2832" spans="1:21" x14ac:dyDescent="0.3">
      <c r="A2832" t="str">
        <f>"850006818"</f>
        <v>850006818</v>
      </c>
      <c r="B2832" t="str">
        <f>"379 652 845 00049"</f>
        <v>379 652 845 00049</v>
      </c>
      <c r="D2832" t="str">
        <f>"CSI DES ACHARDS COEX ET ST MATHURIN"</f>
        <v>CSI DES ACHARDS COEX ET ST MATHURIN</v>
      </c>
      <c r="F2832" t="str">
        <f>"12 PLACE MICHEL VRIGNON"</f>
        <v>12 PLACE MICHEL VRIGNON</v>
      </c>
      <c r="G2832" t="str">
        <f>"LA MOTHE ACHARD"</f>
        <v>LA MOTHE ACHARD</v>
      </c>
      <c r="H2832" t="str">
        <f>"85150"</f>
        <v>85150</v>
      </c>
      <c r="I2832" t="str">
        <f>"LES ACHARDS"</f>
        <v>LES ACHARDS</v>
      </c>
      <c r="J2832" t="str">
        <f>"02 51 05 66 44 "</f>
        <v xml:space="preserve">02 51 05 66 44 </v>
      </c>
      <c r="L2832" s="1">
        <v>28766</v>
      </c>
      <c r="M2832" t="str">
        <f t="shared" si="411"/>
        <v>124</v>
      </c>
      <c r="N2832" t="str">
        <f t="shared" si="412"/>
        <v>Centre de Santé</v>
      </c>
      <c r="O2832" t="str">
        <f>"60"</f>
        <v>60</v>
      </c>
      <c r="P2832" t="str">
        <f>"Association Loi 1901 non Reconnue d'Utilité Publique"</f>
        <v>Association Loi 1901 non Reconnue d'Utilité Publique</v>
      </c>
      <c r="Q2832" t="str">
        <f t="shared" si="407"/>
        <v>36</v>
      </c>
      <c r="R2832" t="str">
        <f t="shared" si="408"/>
        <v>Tarifs conventionnels assurance maladie</v>
      </c>
      <c r="U2832" t="str">
        <f>"850029851"</f>
        <v>850029851</v>
      </c>
    </row>
    <row r="2833" spans="1:21" x14ac:dyDescent="0.3">
      <c r="A2833" t="str">
        <f>"440007631"</f>
        <v>440007631</v>
      </c>
      <c r="B2833" t="str">
        <f>"314 492 554 00055"</f>
        <v>314 492 554 00055</v>
      </c>
      <c r="D2833" t="str">
        <f>"CENTRE DE SOINS INFIRMIERS DE PORNIC"</f>
        <v>CENTRE DE SOINS INFIRMIERS DE PORNIC</v>
      </c>
      <c r="F2833" t="str">
        <f>"1 RUE JEAN SARMENT"</f>
        <v>1 RUE JEAN SARMENT</v>
      </c>
      <c r="H2833" t="str">
        <f>"44210"</f>
        <v>44210</v>
      </c>
      <c r="I2833" t="str">
        <f>"PORNIC"</f>
        <v>PORNIC</v>
      </c>
      <c r="J2833" t="str">
        <f>"02 40 82 22 87 "</f>
        <v xml:space="preserve">02 40 82 22 87 </v>
      </c>
      <c r="K2833" t="str">
        <f>"02 40 82 03 96"</f>
        <v>02 40 82 03 96</v>
      </c>
      <c r="L2833" s="1">
        <v>28764</v>
      </c>
      <c r="M2833" t="str">
        <f t="shared" si="411"/>
        <v>124</v>
      </c>
      <c r="N2833" t="str">
        <f t="shared" si="412"/>
        <v>Centre de Santé</v>
      </c>
      <c r="O2833" t="str">
        <f>"60"</f>
        <v>60</v>
      </c>
      <c r="P2833" t="str">
        <f>"Association Loi 1901 non Reconnue d'Utilité Publique"</f>
        <v>Association Loi 1901 non Reconnue d'Utilité Publique</v>
      </c>
      <c r="Q2833" t="str">
        <f t="shared" si="407"/>
        <v>36</v>
      </c>
      <c r="R2833" t="str">
        <f t="shared" si="408"/>
        <v>Tarifs conventionnels assurance maladie</v>
      </c>
      <c r="U2833" t="str">
        <f>"440002707"</f>
        <v>440002707</v>
      </c>
    </row>
    <row r="2834" spans="1:21" x14ac:dyDescent="0.3">
      <c r="A2834" t="str">
        <f>"870000361"</f>
        <v>870000361</v>
      </c>
      <c r="B2834" t="str">
        <f>"775 672 272 15403"</f>
        <v>775 672 272 15403</v>
      </c>
      <c r="D2834" t="str">
        <f>"CENTRE DE SOINS INFIRMIERS"</f>
        <v>CENTRE DE SOINS INFIRMIERS</v>
      </c>
      <c r="F2834" t="str">
        <f>"17 RUE DU CHENE VERT"</f>
        <v>17 RUE DU CHENE VERT</v>
      </c>
      <c r="H2834" t="str">
        <f>"87230"</f>
        <v>87230</v>
      </c>
      <c r="I2834" t="str">
        <f>"CHALUS"</f>
        <v>CHALUS</v>
      </c>
      <c r="J2834" t="str">
        <f>"05 55 78 41 45 "</f>
        <v xml:space="preserve">05 55 78 41 45 </v>
      </c>
      <c r="L2834" s="1">
        <v>28758</v>
      </c>
      <c r="M2834" t="str">
        <f t="shared" si="411"/>
        <v>124</v>
      </c>
      <c r="N2834" t="str">
        <f t="shared" si="412"/>
        <v>Centre de Santé</v>
      </c>
      <c r="O2834" t="str">
        <f>"61"</f>
        <v>61</v>
      </c>
      <c r="P2834" t="str">
        <f>"Association Loi 1901 Reconnue d'Utilité Publique"</f>
        <v>Association Loi 1901 Reconnue d'Utilité Publique</v>
      </c>
      <c r="Q2834" t="str">
        <f t="shared" si="407"/>
        <v>36</v>
      </c>
      <c r="R2834" t="str">
        <f t="shared" si="408"/>
        <v>Tarifs conventionnels assurance maladie</v>
      </c>
      <c r="U2834" t="str">
        <f>"750721334"</f>
        <v>750721334</v>
      </c>
    </row>
    <row r="2835" spans="1:21" x14ac:dyDescent="0.3">
      <c r="A2835" t="str">
        <f>"570002170"</f>
        <v>570002170</v>
      </c>
      <c r="B2835" t="str">
        <f>"265 700 518 00029"</f>
        <v>265 700 518 00029</v>
      </c>
      <c r="D2835" t="str">
        <f>"CTRE DE SOINS INFIRMIERS FAULQUEMONT"</f>
        <v>CTRE DE SOINS INFIRMIERS FAULQUEMONT</v>
      </c>
      <c r="F2835" t="str">
        <f>"7 RUE DE NANCY"</f>
        <v>7 RUE DE NANCY</v>
      </c>
      <c r="H2835" t="str">
        <f>"57380"</f>
        <v>57380</v>
      </c>
      <c r="I2835" t="str">
        <f>"FAULQUEMONT"</f>
        <v>FAULQUEMONT</v>
      </c>
      <c r="J2835" t="str">
        <f>"03 87 94 41 65 "</f>
        <v xml:space="preserve">03 87 94 41 65 </v>
      </c>
      <c r="L2835" s="1">
        <v>28754</v>
      </c>
      <c r="M2835" t="str">
        <f t="shared" si="411"/>
        <v>124</v>
      </c>
      <c r="N2835" t="str">
        <f t="shared" si="412"/>
        <v>Centre de Santé</v>
      </c>
      <c r="O2835" t="str">
        <f>"17"</f>
        <v>17</v>
      </c>
      <c r="P2835" t="str">
        <f>"Centre Communal d'Action Sociale"</f>
        <v>Centre Communal d'Action Sociale</v>
      </c>
      <c r="Q2835" t="str">
        <f t="shared" si="407"/>
        <v>36</v>
      </c>
      <c r="R2835" t="str">
        <f t="shared" si="408"/>
        <v>Tarifs conventionnels assurance maladie</v>
      </c>
      <c r="U2835" t="str">
        <f>"570007872"</f>
        <v>570007872</v>
      </c>
    </row>
    <row r="2836" spans="1:21" x14ac:dyDescent="0.3">
      <c r="A2836" t="str">
        <f>"880789425"</f>
        <v>880789425</v>
      </c>
      <c r="B2836" t="str">
        <f>"424 105 906 00012"</f>
        <v>424 105 906 00012</v>
      </c>
      <c r="D2836" t="str">
        <f>"CENTRE DE SOINS DE LA PROVIDENCE"</f>
        <v>CENTRE DE SOINS DE LA PROVIDENCE</v>
      </c>
      <c r="F2836" t="str">
        <f>"37 RUE MAURICE COINDREAU"</f>
        <v>37 RUE MAURICE COINDREAU</v>
      </c>
      <c r="H2836" t="str">
        <f>"88330"</f>
        <v>88330</v>
      </c>
      <c r="I2836" t="str">
        <f>"PORTIEUX"</f>
        <v>PORTIEUX</v>
      </c>
      <c r="J2836" t="str">
        <f>"03 29 67 41 63 "</f>
        <v xml:space="preserve">03 29 67 41 63 </v>
      </c>
      <c r="K2836" t="str">
        <f>"03 29 39 65 34"</f>
        <v>03 29 39 65 34</v>
      </c>
      <c r="L2836" s="1">
        <v>28734</v>
      </c>
      <c r="M2836" t="str">
        <f t="shared" si="411"/>
        <v>124</v>
      </c>
      <c r="N2836" t="str">
        <f t="shared" si="412"/>
        <v>Centre de Santé</v>
      </c>
      <c r="O2836" t="str">
        <f>"60"</f>
        <v>60</v>
      </c>
      <c r="P2836" t="str">
        <f>"Association Loi 1901 non Reconnue d'Utilité Publique"</f>
        <v>Association Loi 1901 non Reconnue d'Utilité Publique</v>
      </c>
      <c r="Q2836" t="str">
        <f t="shared" si="407"/>
        <v>36</v>
      </c>
      <c r="R2836" t="str">
        <f t="shared" si="408"/>
        <v>Tarifs conventionnels assurance maladie</v>
      </c>
      <c r="U2836" t="str">
        <f>"880007612"</f>
        <v>880007612</v>
      </c>
    </row>
    <row r="2837" spans="1:21" x14ac:dyDescent="0.3">
      <c r="A2837" t="str">
        <f>"930010855"</f>
        <v>930010855</v>
      </c>
      <c r="B2837" t="str">
        <f>"219 300 662 00745"</f>
        <v>219 300 662 00745</v>
      </c>
      <c r="D2837" t="str">
        <f>"CDS MUNICIPAL WILSON"</f>
        <v>CDS MUNICIPAL WILSON</v>
      </c>
      <c r="F2837" t="str">
        <f>"153 AVENUE DU PRESIDENT WILSON"</f>
        <v>153 AVENUE DU PRESIDENT WILSON</v>
      </c>
      <c r="G2837" t="str">
        <f>"CHEMIN DES PETITS CAILLOUX"</f>
        <v>CHEMIN DES PETITS CAILLOUX</v>
      </c>
      <c r="H2837" t="str">
        <f>"93210"</f>
        <v>93210</v>
      </c>
      <c r="I2837" t="str">
        <f>"ST DENIS"</f>
        <v>ST DENIS</v>
      </c>
      <c r="J2837" t="str">
        <f>"01 55 93 42 60 "</f>
        <v xml:space="preserve">01 55 93 42 60 </v>
      </c>
      <c r="K2837" t="str">
        <f>"01 55 93 42 65"</f>
        <v>01 55 93 42 65</v>
      </c>
      <c r="L2837" s="1">
        <v>28734</v>
      </c>
      <c r="M2837" t="str">
        <f t="shared" si="411"/>
        <v>124</v>
      </c>
      <c r="N2837" t="str">
        <f t="shared" si="412"/>
        <v>Centre de Santé</v>
      </c>
      <c r="O2837" t="str">
        <f>"03"</f>
        <v>03</v>
      </c>
      <c r="P2837" t="str">
        <f>"Commune"</f>
        <v>Commune</v>
      </c>
      <c r="Q2837" t="str">
        <f t="shared" si="407"/>
        <v>36</v>
      </c>
      <c r="R2837" t="str">
        <f t="shared" si="408"/>
        <v>Tarifs conventionnels assurance maladie</v>
      </c>
      <c r="U2837" t="str">
        <f>"930813159"</f>
        <v>930813159</v>
      </c>
    </row>
    <row r="2838" spans="1:21" x14ac:dyDescent="0.3">
      <c r="A2838" t="str">
        <f>"120783022"</f>
        <v>120783022</v>
      </c>
      <c r="B2838" t="str">
        <f>"313 711 699 00022"</f>
        <v>313 711 699 00022</v>
      </c>
      <c r="D2838" t="str">
        <f>"CENTRE DE SOINS INFIRMIERS"</f>
        <v>CENTRE DE SOINS INFIRMIERS</v>
      </c>
      <c r="F2838" t="str">
        <f>"114 ROUTE DE RODEZ"</f>
        <v>114 ROUTE DE RODEZ</v>
      </c>
      <c r="H2838" t="str">
        <f>"12310"</f>
        <v>12310</v>
      </c>
      <c r="I2838" t="str">
        <f>"LAISSAC SEVERAC L EGLISE"</f>
        <v>LAISSAC SEVERAC L EGLISE</v>
      </c>
      <c r="J2838" t="str">
        <f>"05 65 69 67 85 "</f>
        <v xml:space="preserve">05 65 69 67 85 </v>
      </c>
      <c r="L2838" s="1">
        <v>28703</v>
      </c>
      <c r="M2838" t="str">
        <f t="shared" si="411"/>
        <v>124</v>
      </c>
      <c r="N2838" t="str">
        <f t="shared" si="412"/>
        <v>Centre de Santé</v>
      </c>
      <c r="O2838" t="str">
        <f>"60"</f>
        <v>60</v>
      </c>
      <c r="P2838" t="str">
        <f>"Association Loi 1901 non Reconnue d'Utilité Publique"</f>
        <v>Association Loi 1901 non Reconnue d'Utilité Publique</v>
      </c>
      <c r="Q2838" t="str">
        <f t="shared" si="407"/>
        <v>36</v>
      </c>
      <c r="R2838" t="str">
        <f t="shared" si="408"/>
        <v>Tarifs conventionnels assurance maladie</v>
      </c>
      <c r="U2838" t="str">
        <f>"120784921"</f>
        <v>120784921</v>
      </c>
    </row>
    <row r="2839" spans="1:21" x14ac:dyDescent="0.3">
      <c r="A2839" t="str">
        <f>"440010098"</f>
        <v>440010098</v>
      </c>
      <c r="B2839" t="str">
        <f>"308 973 635 00060"</f>
        <v>308 973 635 00060</v>
      </c>
      <c r="D2839" t="str">
        <f>"CSI COUERON"</f>
        <v>CSI COUERON</v>
      </c>
      <c r="F2839" t="str">
        <f>"BOULEVARD FRANCOIS BLANCHO"</f>
        <v>BOULEVARD FRANCOIS BLANCHO</v>
      </c>
      <c r="H2839" t="str">
        <f>"44220"</f>
        <v>44220</v>
      </c>
      <c r="I2839" t="str">
        <f>"COUERON"</f>
        <v>COUERON</v>
      </c>
      <c r="J2839" t="str">
        <f>"02 40 86 14 57 "</f>
        <v xml:space="preserve">02 40 86 14 57 </v>
      </c>
      <c r="L2839" s="1">
        <v>28703</v>
      </c>
      <c r="M2839" t="str">
        <f t="shared" si="411"/>
        <v>124</v>
      </c>
      <c r="N2839" t="str">
        <f t="shared" si="412"/>
        <v>Centre de Santé</v>
      </c>
      <c r="O2839" t="str">
        <f>"60"</f>
        <v>60</v>
      </c>
      <c r="P2839" t="str">
        <f>"Association Loi 1901 non Reconnue d'Utilité Publique"</f>
        <v>Association Loi 1901 non Reconnue d'Utilité Publique</v>
      </c>
      <c r="Q2839" t="str">
        <f t="shared" si="407"/>
        <v>36</v>
      </c>
      <c r="R2839" t="str">
        <f t="shared" si="408"/>
        <v>Tarifs conventionnels assurance maladie</v>
      </c>
      <c r="U2839" t="str">
        <f>"440005841"</f>
        <v>440005841</v>
      </c>
    </row>
    <row r="2840" spans="1:21" x14ac:dyDescent="0.3">
      <c r="A2840" t="str">
        <f>"590791679"</f>
        <v>590791679</v>
      </c>
      <c r="D2840" t="str">
        <f>"CENTRE DE SANTÉ INFIRMIER BÉTHANIE"</f>
        <v>CENTRE DE SANTÉ INFIRMIER BÉTHANIE</v>
      </c>
      <c r="F2840" t="str">
        <f>"ZONE ARTISANALE LES  WATTINES"</f>
        <v>ZONE ARTISANALE LES  WATTINES</v>
      </c>
      <c r="G2840" t="str">
        <f>"ALLÉE J-M VERROYE"</f>
        <v>ALLÉE J-M VERROYE</v>
      </c>
      <c r="H2840" t="str">
        <f>"59126"</f>
        <v>59126</v>
      </c>
      <c r="I2840" t="str">
        <f>"LINSELLES"</f>
        <v>LINSELLES</v>
      </c>
      <c r="J2840" t="str">
        <f>"03 20 03 26 52 "</f>
        <v xml:space="preserve">03 20 03 26 52 </v>
      </c>
      <c r="L2840" s="1">
        <v>28691</v>
      </c>
      <c r="M2840" t="str">
        <f t="shared" si="411"/>
        <v>124</v>
      </c>
      <c r="N2840" t="str">
        <f t="shared" si="412"/>
        <v>Centre de Santé</v>
      </c>
      <c r="O2840" t="str">
        <f>"60"</f>
        <v>60</v>
      </c>
      <c r="P2840" t="str">
        <f>"Association Loi 1901 non Reconnue d'Utilité Publique"</f>
        <v>Association Loi 1901 non Reconnue d'Utilité Publique</v>
      </c>
      <c r="Q2840" t="str">
        <f t="shared" si="407"/>
        <v>36</v>
      </c>
      <c r="R2840" t="str">
        <f t="shared" si="408"/>
        <v>Tarifs conventionnels assurance maladie</v>
      </c>
      <c r="U2840" t="str">
        <f>"590800066"</f>
        <v>590800066</v>
      </c>
    </row>
    <row r="2841" spans="1:21" x14ac:dyDescent="0.3">
      <c r="A2841" t="str">
        <f>"570002196"</f>
        <v>570002196</v>
      </c>
      <c r="B2841" t="str">
        <f>"265 700 716 00029"</f>
        <v>265 700 716 00029</v>
      </c>
      <c r="D2841" t="str">
        <f>"CTRE DE SOINS INFIRMIERS DE LONGEVILLE"</f>
        <v>CTRE DE SOINS INFIRMIERS DE LONGEVILLE</v>
      </c>
      <c r="F2841" t="str">
        <f>"11 RUE DU GENERAL DE GAULLE"</f>
        <v>11 RUE DU GENERAL DE GAULLE</v>
      </c>
      <c r="H2841" t="str">
        <f>"57740"</f>
        <v>57740</v>
      </c>
      <c r="I2841" t="str">
        <f>"LONGEVILLE LES ST AVOLD"</f>
        <v>LONGEVILLE LES ST AVOLD</v>
      </c>
      <c r="J2841" t="str">
        <f>"03 87 92 42 31 "</f>
        <v xml:space="preserve">03 87 92 42 31 </v>
      </c>
      <c r="L2841" s="1">
        <v>28686</v>
      </c>
      <c r="M2841" t="str">
        <f t="shared" si="411"/>
        <v>124</v>
      </c>
      <c r="N2841" t="str">
        <f t="shared" si="412"/>
        <v>Centre de Santé</v>
      </c>
      <c r="O2841" t="str">
        <f>"17"</f>
        <v>17</v>
      </c>
      <c r="P2841" t="str">
        <f>"Centre Communal d'Action Sociale"</f>
        <v>Centre Communal d'Action Sociale</v>
      </c>
      <c r="Q2841" t="str">
        <f t="shared" si="407"/>
        <v>36</v>
      </c>
      <c r="R2841" t="str">
        <f t="shared" si="408"/>
        <v>Tarifs conventionnels assurance maladie</v>
      </c>
      <c r="U2841" t="str">
        <f>"570006718"</f>
        <v>570006718</v>
      </c>
    </row>
    <row r="2842" spans="1:21" x14ac:dyDescent="0.3">
      <c r="A2842" t="str">
        <f>"790000467"</f>
        <v>790000467</v>
      </c>
      <c r="B2842" t="str">
        <f>"781 453 923 00109"</f>
        <v>781 453 923 00109</v>
      </c>
      <c r="D2842" t="str">
        <f>"CDS DENTAIRE DE NIORT"</f>
        <v>CDS DENTAIRE DE NIORT</v>
      </c>
      <c r="F2842" t="str">
        <f>"110 AVENUE DE LIMOGES"</f>
        <v>110 AVENUE DE LIMOGES</v>
      </c>
      <c r="G2842" t="str">
        <f>"BP 105"</f>
        <v>BP 105</v>
      </c>
      <c r="H2842" t="str">
        <f>"79004"</f>
        <v>79004</v>
      </c>
      <c r="I2842" t="str">
        <f>"NIORT CEDEX"</f>
        <v>NIORT CEDEX</v>
      </c>
      <c r="J2842" t="str">
        <f>"05 49 77 83 59 "</f>
        <v xml:space="preserve">05 49 77 83 59 </v>
      </c>
      <c r="L2842" s="1">
        <v>28686</v>
      </c>
      <c r="M2842" t="str">
        <f t="shared" si="411"/>
        <v>124</v>
      </c>
      <c r="N2842" t="str">
        <f t="shared" si="412"/>
        <v>Centre de Santé</v>
      </c>
      <c r="O2842" t="str">
        <f>"47"</f>
        <v>47</v>
      </c>
      <c r="P2842" t="str">
        <f>"Société Mutualiste"</f>
        <v>Société Mutualiste</v>
      </c>
      <c r="Q2842" t="str">
        <f t="shared" si="407"/>
        <v>36</v>
      </c>
      <c r="R2842" t="str">
        <f t="shared" si="408"/>
        <v>Tarifs conventionnels assurance maladie</v>
      </c>
      <c r="U2842" t="str">
        <f>"790000632"</f>
        <v>790000632</v>
      </c>
    </row>
    <row r="2843" spans="1:21" x14ac:dyDescent="0.3">
      <c r="A2843" t="str">
        <f>"950040402"</f>
        <v>950040402</v>
      </c>
      <c r="B2843" t="str">
        <f>"419 443 080 00017"</f>
        <v>419 443 080 00017</v>
      </c>
      <c r="D2843" t="str">
        <f>"CDS SOINS INFIRMIERS DE MONTMORENCY"</f>
        <v>CDS SOINS INFIRMIERS DE MONTMORENCY</v>
      </c>
      <c r="F2843" t="str">
        <f>"29 RUE DU MARCHE"</f>
        <v>29 RUE DU MARCHE</v>
      </c>
      <c r="H2843" t="str">
        <f>"95160"</f>
        <v>95160</v>
      </c>
      <c r="I2843" t="str">
        <f>"MONTMORENCY"</f>
        <v>MONTMORENCY</v>
      </c>
      <c r="J2843" t="str">
        <f>"01 39 64 75 40 "</f>
        <v xml:space="preserve">01 39 64 75 40 </v>
      </c>
      <c r="K2843" t="str">
        <f>"01 39 64 55 20"</f>
        <v>01 39 64 55 20</v>
      </c>
      <c r="L2843" s="1">
        <v>28677</v>
      </c>
      <c r="M2843" t="str">
        <f t="shared" si="411"/>
        <v>124</v>
      </c>
      <c r="N2843" t="str">
        <f t="shared" si="412"/>
        <v>Centre de Santé</v>
      </c>
      <c r="O2843" t="str">
        <f>"63"</f>
        <v>63</v>
      </c>
      <c r="P2843" t="str">
        <f>"Fondation"</f>
        <v>Fondation</v>
      </c>
      <c r="Q2843" t="str">
        <f t="shared" si="407"/>
        <v>36</v>
      </c>
      <c r="R2843" t="str">
        <f t="shared" si="408"/>
        <v>Tarifs conventionnels assurance maladie</v>
      </c>
      <c r="U2843" t="str">
        <f>"950000299"</f>
        <v>950000299</v>
      </c>
    </row>
    <row r="2844" spans="1:21" x14ac:dyDescent="0.3">
      <c r="A2844" t="str">
        <f>"240003467"</f>
        <v>240003467</v>
      </c>
      <c r="B2844" t="str">
        <f>"781 647 268 00015"</f>
        <v>781 647 268 00015</v>
      </c>
      <c r="D2844" t="str">
        <f>"CENTRE DE SANTÉ SAINT-VINCENT-DE-PAUL"</f>
        <v>CENTRE DE SANTÉ SAINT-VINCENT-DE-PAUL</v>
      </c>
      <c r="F2844" t="str">
        <f>"8 AVENUE DE LA DORDOGNE"</f>
        <v>8 AVENUE DE LA DORDOGNE</v>
      </c>
      <c r="H2844" t="str">
        <f>"24480"</f>
        <v>24480</v>
      </c>
      <c r="I2844" t="str">
        <f>"LE BUISSON DE CADOUIN"</f>
        <v>LE BUISSON DE CADOUIN</v>
      </c>
      <c r="J2844" t="str">
        <f>"05 53 22 03 84 "</f>
        <v xml:space="preserve">05 53 22 03 84 </v>
      </c>
      <c r="K2844" t="str">
        <f>"05 47 77 80 30"</f>
        <v>05 47 77 80 30</v>
      </c>
      <c r="L2844" s="1">
        <v>28676</v>
      </c>
      <c r="M2844" t="str">
        <f t="shared" si="411"/>
        <v>124</v>
      </c>
      <c r="N2844" t="str">
        <f t="shared" si="412"/>
        <v>Centre de Santé</v>
      </c>
      <c r="O2844" t="str">
        <f t="shared" ref="O2844:O2854" si="413">"60"</f>
        <v>60</v>
      </c>
      <c r="P2844" t="str">
        <f t="shared" ref="P2844:P2854" si="414">"Association Loi 1901 non Reconnue d'Utilité Publique"</f>
        <v>Association Loi 1901 non Reconnue d'Utilité Publique</v>
      </c>
      <c r="Q2844" t="str">
        <f t="shared" si="407"/>
        <v>36</v>
      </c>
      <c r="R2844" t="str">
        <f t="shared" si="408"/>
        <v>Tarifs conventionnels assurance maladie</v>
      </c>
      <c r="U2844" t="str">
        <f>"240002394"</f>
        <v>240002394</v>
      </c>
    </row>
    <row r="2845" spans="1:21" x14ac:dyDescent="0.3">
      <c r="A2845" t="str">
        <f>"490528320"</f>
        <v>490528320</v>
      </c>
      <c r="B2845" t="str">
        <f>"387 872 948 00014"</f>
        <v>387 872 948 00014</v>
      </c>
      <c r="D2845" t="str">
        <f>"CSI SERVANTES DES PAUVRES"</f>
        <v>CSI SERVANTES DES PAUVRES</v>
      </c>
      <c r="F2845" t="str">
        <f>"49 RUE PARMENTIER"</f>
        <v>49 RUE PARMENTIER</v>
      </c>
      <c r="H2845" t="str">
        <f>"49000"</f>
        <v>49000</v>
      </c>
      <c r="I2845" t="str">
        <f>"ANGERS"</f>
        <v>ANGERS</v>
      </c>
      <c r="J2845" t="str">
        <f>"02 41 66 38 30 "</f>
        <v xml:space="preserve">02 41 66 38 30 </v>
      </c>
      <c r="L2845" s="1">
        <v>28676</v>
      </c>
      <c r="M2845" t="str">
        <f t="shared" si="411"/>
        <v>124</v>
      </c>
      <c r="N2845" t="str">
        <f t="shared" si="412"/>
        <v>Centre de Santé</v>
      </c>
      <c r="O2845" t="str">
        <f t="shared" si="413"/>
        <v>60</v>
      </c>
      <c r="P2845" t="str">
        <f t="shared" si="414"/>
        <v>Association Loi 1901 non Reconnue d'Utilité Publique</v>
      </c>
      <c r="Q2845" t="str">
        <f t="shared" si="407"/>
        <v>36</v>
      </c>
      <c r="R2845" t="str">
        <f t="shared" si="408"/>
        <v>Tarifs conventionnels assurance maladie</v>
      </c>
      <c r="U2845" t="str">
        <f>"490535838"</f>
        <v>490535838</v>
      </c>
    </row>
    <row r="2846" spans="1:21" x14ac:dyDescent="0.3">
      <c r="A2846" t="str">
        <f>"490528338"</f>
        <v>490528338</v>
      </c>
      <c r="B2846" t="str">
        <f>"387 872 948 00022"</f>
        <v>387 872 948 00022</v>
      </c>
      <c r="D2846" t="str">
        <f>"CSI SERVANTES DES PAUVRES"</f>
        <v>CSI SERVANTES DES PAUVRES</v>
      </c>
      <c r="F2846" t="str">
        <f>"9 RUE DE LA HARPE"</f>
        <v>9 RUE DE LA HARPE</v>
      </c>
      <c r="H2846" t="str">
        <f>"49100"</f>
        <v>49100</v>
      </c>
      <c r="I2846" t="str">
        <f>"ANGERS"</f>
        <v>ANGERS</v>
      </c>
      <c r="J2846" t="str">
        <f>"02 41 87 71 18 "</f>
        <v xml:space="preserve">02 41 87 71 18 </v>
      </c>
      <c r="L2846" s="1">
        <v>28676</v>
      </c>
      <c r="M2846" t="str">
        <f t="shared" si="411"/>
        <v>124</v>
      </c>
      <c r="N2846" t="str">
        <f t="shared" si="412"/>
        <v>Centre de Santé</v>
      </c>
      <c r="O2846" t="str">
        <f t="shared" si="413"/>
        <v>60</v>
      </c>
      <c r="P2846" t="str">
        <f t="shared" si="414"/>
        <v>Association Loi 1901 non Reconnue d'Utilité Publique</v>
      </c>
      <c r="Q2846" t="str">
        <f t="shared" si="407"/>
        <v>36</v>
      </c>
      <c r="R2846" t="str">
        <f t="shared" si="408"/>
        <v>Tarifs conventionnels assurance maladie</v>
      </c>
      <c r="U2846" t="str">
        <f>"490535838"</f>
        <v>490535838</v>
      </c>
    </row>
    <row r="2847" spans="1:21" x14ac:dyDescent="0.3">
      <c r="A2847" t="str">
        <f>"490528361"</f>
        <v>490528361</v>
      </c>
      <c r="B2847" t="str">
        <f>"775 609 555 00120"</f>
        <v>775 609 555 00120</v>
      </c>
      <c r="D2847" t="str">
        <f>"CSI TIERCE"</f>
        <v>CSI TIERCE</v>
      </c>
      <c r="F2847" t="str">
        <f>"4 RUE DE LONGCHAMPS"</f>
        <v>4 RUE DE LONGCHAMPS</v>
      </c>
      <c r="H2847" t="str">
        <f>"49125"</f>
        <v>49125</v>
      </c>
      <c r="I2847" t="str">
        <f>"TIERCE"</f>
        <v>TIERCE</v>
      </c>
      <c r="J2847" t="str">
        <f>"02 41 42 64 91 "</f>
        <v xml:space="preserve">02 41 42 64 91 </v>
      </c>
      <c r="K2847" t="str">
        <f>"02 41 36 23 61"</f>
        <v>02 41 36 23 61</v>
      </c>
      <c r="L2847" s="1">
        <v>28676</v>
      </c>
      <c r="M2847" t="str">
        <f t="shared" si="411"/>
        <v>124</v>
      </c>
      <c r="N2847" t="str">
        <f t="shared" si="412"/>
        <v>Centre de Santé</v>
      </c>
      <c r="O2847" t="str">
        <f t="shared" si="413"/>
        <v>60</v>
      </c>
      <c r="P2847" t="str">
        <f t="shared" si="414"/>
        <v>Association Loi 1901 non Reconnue d'Utilité Publique</v>
      </c>
      <c r="Q2847" t="str">
        <f t="shared" si="407"/>
        <v>36</v>
      </c>
      <c r="R2847" t="str">
        <f t="shared" si="408"/>
        <v>Tarifs conventionnels assurance maladie</v>
      </c>
      <c r="U2847" t="str">
        <f>"490535663"</f>
        <v>490535663</v>
      </c>
    </row>
    <row r="2848" spans="1:21" x14ac:dyDescent="0.3">
      <c r="A2848" t="str">
        <f>"490528379"</f>
        <v>490528379</v>
      </c>
      <c r="B2848" t="str">
        <f>"775 609 555 00260"</f>
        <v>775 609 555 00260</v>
      </c>
      <c r="D2848" t="str">
        <f>"CSI VERNEAU"</f>
        <v>CSI VERNEAU</v>
      </c>
      <c r="F2848" t="str">
        <f>"9 RUE MARIE AMELIE CAMBELL"</f>
        <v>9 RUE MARIE AMELIE CAMBELL</v>
      </c>
      <c r="H2848" t="str">
        <f>"49100"</f>
        <v>49100</v>
      </c>
      <c r="I2848" t="str">
        <f>"ANGERS"</f>
        <v>ANGERS</v>
      </c>
      <c r="J2848" t="str">
        <f>"02 41 48 44 08 "</f>
        <v xml:space="preserve">02 41 48 44 08 </v>
      </c>
      <c r="L2848" s="1">
        <v>28676</v>
      </c>
      <c r="M2848" t="str">
        <f t="shared" si="411"/>
        <v>124</v>
      </c>
      <c r="N2848" t="str">
        <f t="shared" si="412"/>
        <v>Centre de Santé</v>
      </c>
      <c r="O2848" t="str">
        <f t="shared" si="413"/>
        <v>60</v>
      </c>
      <c r="P2848" t="str">
        <f t="shared" si="414"/>
        <v>Association Loi 1901 non Reconnue d'Utilité Publique</v>
      </c>
      <c r="Q2848" t="str">
        <f t="shared" si="407"/>
        <v>36</v>
      </c>
      <c r="R2848" t="str">
        <f t="shared" si="408"/>
        <v>Tarifs conventionnels assurance maladie</v>
      </c>
      <c r="U2848" t="str">
        <f>"490535663"</f>
        <v>490535663</v>
      </c>
    </row>
    <row r="2849" spans="1:21" x14ac:dyDescent="0.3">
      <c r="A2849" t="str">
        <f>"490528387"</f>
        <v>490528387</v>
      </c>
      <c r="B2849" t="str">
        <f>"775 609 555 00047"</f>
        <v>775 609 555 00047</v>
      </c>
      <c r="D2849" t="str">
        <f>"CSI MONPLAISIR"</f>
        <v>CSI MONPLAISIR</v>
      </c>
      <c r="E2849" t="str">
        <f>"MONPLAISIR"</f>
        <v>MONPLAISIR</v>
      </c>
      <c r="F2849" t="str">
        <f>"10 BOULEVARD ROBERT SCHUMAN"</f>
        <v>10 BOULEVARD ROBERT SCHUMAN</v>
      </c>
      <c r="H2849" t="str">
        <f>"49100"</f>
        <v>49100</v>
      </c>
      <c r="I2849" t="str">
        <f>"ANGERS"</f>
        <v>ANGERS</v>
      </c>
      <c r="J2849" t="str">
        <f>"02 41 43 88 30 "</f>
        <v xml:space="preserve">02 41 43 88 30 </v>
      </c>
      <c r="L2849" s="1">
        <v>28676</v>
      </c>
      <c r="M2849" t="str">
        <f t="shared" si="411"/>
        <v>124</v>
      </c>
      <c r="N2849" t="str">
        <f t="shared" si="412"/>
        <v>Centre de Santé</v>
      </c>
      <c r="O2849" t="str">
        <f t="shared" si="413"/>
        <v>60</v>
      </c>
      <c r="P2849" t="str">
        <f t="shared" si="414"/>
        <v>Association Loi 1901 non Reconnue d'Utilité Publique</v>
      </c>
      <c r="Q2849" t="str">
        <f t="shared" si="407"/>
        <v>36</v>
      </c>
      <c r="R2849" t="str">
        <f t="shared" si="408"/>
        <v>Tarifs conventionnels assurance maladie</v>
      </c>
      <c r="U2849" t="str">
        <f>"490535663"</f>
        <v>490535663</v>
      </c>
    </row>
    <row r="2850" spans="1:21" x14ac:dyDescent="0.3">
      <c r="A2850" t="str">
        <f>"490528551"</f>
        <v>490528551</v>
      </c>
      <c r="B2850" t="str">
        <f>"775 609 555 00286"</f>
        <v>775 609 555 00286</v>
      </c>
      <c r="D2850" t="str">
        <f>"CSI BELLE BEILLE"</f>
        <v>CSI BELLE BEILLE</v>
      </c>
      <c r="F2850" t="str">
        <f>"41 RUE DE LA LANDE"</f>
        <v>41 RUE DE LA LANDE</v>
      </c>
      <c r="H2850" t="str">
        <f>"49000"</f>
        <v>49000</v>
      </c>
      <c r="I2850" t="str">
        <f>"ANGERS"</f>
        <v>ANGERS</v>
      </c>
      <c r="J2850" t="str">
        <f>"02 41 48 06 53 "</f>
        <v xml:space="preserve">02 41 48 06 53 </v>
      </c>
      <c r="L2850" s="1">
        <v>28676</v>
      </c>
      <c r="M2850" t="str">
        <f t="shared" si="411"/>
        <v>124</v>
      </c>
      <c r="N2850" t="str">
        <f t="shared" si="412"/>
        <v>Centre de Santé</v>
      </c>
      <c r="O2850" t="str">
        <f t="shared" si="413"/>
        <v>60</v>
      </c>
      <c r="P2850" t="str">
        <f t="shared" si="414"/>
        <v>Association Loi 1901 non Reconnue d'Utilité Publique</v>
      </c>
      <c r="Q2850" t="str">
        <f t="shared" si="407"/>
        <v>36</v>
      </c>
      <c r="R2850" t="str">
        <f t="shared" si="408"/>
        <v>Tarifs conventionnels assurance maladie</v>
      </c>
      <c r="U2850" t="str">
        <f>"490535663"</f>
        <v>490535663</v>
      </c>
    </row>
    <row r="2851" spans="1:21" x14ac:dyDescent="0.3">
      <c r="A2851" t="str">
        <f>"490531092"</f>
        <v>490531092</v>
      </c>
      <c r="B2851" t="str">
        <f>"775 609 555 00195"</f>
        <v>775 609 555 00195</v>
      </c>
      <c r="D2851" t="str">
        <f>"CSI VILLEVEQUE"</f>
        <v>CSI VILLEVEQUE</v>
      </c>
      <c r="F2851" t="str">
        <f>"4 CHEMIN DES VIGNES D'OULES"</f>
        <v>4 CHEMIN DES VIGNES D'OULES</v>
      </c>
      <c r="H2851" t="str">
        <f>"49140"</f>
        <v>49140</v>
      </c>
      <c r="I2851" t="str">
        <f>"RIVES DU LOIR EN ANJOU"</f>
        <v>RIVES DU LOIR EN ANJOU</v>
      </c>
      <c r="J2851" t="str">
        <f>"02 41 69 55 21 "</f>
        <v xml:space="preserve">02 41 69 55 21 </v>
      </c>
      <c r="K2851" t="str">
        <f>"02 41 18 18 71"</f>
        <v>02 41 18 18 71</v>
      </c>
      <c r="L2851" s="1">
        <v>28676</v>
      </c>
      <c r="M2851" t="str">
        <f t="shared" si="411"/>
        <v>124</v>
      </c>
      <c r="N2851" t="str">
        <f t="shared" si="412"/>
        <v>Centre de Santé</v>
      </c>
      <c r="O2851" t="str">
        <f t="shared" si="413"/>
        <v>60</v>
      </c>
      <c r="P2851" t="str">
        <f t="shared" si="414"/>
        <v>Association Loi 1901 non Reconnue d'Utilité Publique</v>
      </c>
      <c r="Q2851" t="str">
        <f t="shared" si="407"/>
        <v>36</v>
      </c>
      <c r="R2851" t="str">
        <f t="shared" si="408"/>
        <v>Tarifs conventionnels assurance maladie</v>
      </c>
      <c r="U2851" t="str">
        <f>"490535663"</f>
        <v>490535663</v>
      </c>
    </row>
    <row r="2852" spans="1:21" x14ac:dyDescent="0.3">
      <c r="A2852" t="str">
        <f>"640787008"</f>
        <v>640787008</v>
      </c>
      <c r="B2852" t="str">
        <f>"775 646 615 00770"</f>
        <v>775 646 615 00770</v>
      </c>
      <c r="D2852" t="str">
        <f>"CENTRE DE SOINS INFIRMIERS ST-VINCENT"</f>
        <v>CENTRE DE SOINS INFIRMIERS ST-VINCENT</v>
      </c>
      <c r="F2852" t="str">
        <f>"15 RUE HAPETENIA"</f>
        <v>15 RUE HAPETENIA</v>
      </c>
      <c r="H2852" t="str">
        <f>"64700"</f>
        <v>64700</v>
      </c>
      <c r="I2852" t="str">
        <f>"HENDAYE"</f>
        <v>HENDAYE</v>
      </c>
      <c r="J2852" t="str">
        <f>"05 59 20 95 54 "</f>
        <v xml:space="preserve">05 59 20 95 54 </v>
      </c>
      <c r="L2852" s="1">
        <v>28676</v>
      </c>
      <c r="M2852" t="str">
        <f t="shared" si="411"/>
        <v>124</v>
      </c>
      <c r="N2852" t="str">
        <f t="shared" si="412"/>
        <v>Centre de Santé</v>
      </c>
      <c r="O2852" t="str">
        <f t="shared" si="413"/>
        <v>60</v>
      </c>
      <c r="P2852" t="str">
        <f t="shared" si="414"/>
        <v>Association Loi 1901 non Reconnue d'Utilité Publique</v>
      </c>
      <c r="Q2852" t="str">
        <f t="shared" si="407"/>
        <v>36</v>
      </c>
      <c r="R2852" t="str">
        <f t="shared" si="408"/>
        <v>Tarifs conventionnels assurance maladie</v>
      </c>
      <c r="U2852" t="str">
        <f>"690793195"</f>
        <v>690793195</v>
      </c>
    </row>
    <row r="2853" spans="1:21" x14ac:dyDescent="0.3">
      <c r="A2853" t="str">
        <f>"850024514"</f>
        <v>850024514</v>
      </c>
      <c r="B2853" t="str">
        <f>"410 751 283 00020"</f>
        <v>410 751 283 00020</v>
      </c>
      <c r="D2853" t="str">
        <f>"CSP CHANTONNAY"</f>
        <v>CSP CHANTONNAY</v>
      </c>
      <c r="F2853" t="str">
        <f>"20 RUE NATIONALE"</f>
        <v>20 RUE NATIONALE</v>
      </c>
      <c r="H2853" t="str">
        <f>"85110"</f>
        <v>85110</v>
      </c>
      <c r="I2853" t="str">
        <f>"CHANTONNAY"</f>
        <v>CHANTONNAY</v>
      </c>
      <c r="J2853" t="str">
        <f>"02 51 94 31 34 "</f>
        <v xml:space="preserve">02 51 94 31 34 </v>
      </c>
      <c r="L2853" s="1">
        <v>28676</v>
      </c>
      <c r="M2853" t="str">
        <f t="shared" si="411"/>
        <v>124</v>
      </c>
      <c r="N2853" t="str">
        <f t="shared" si="412"/>
        <v>Centre de Santé</v>
      </c>
      <c r="O2853" t="str">
        <f t="shared" si="413"/>
        <v>60</v>
      </c>
      <c r="P2853" t="str">
        <f t="shared" si="414"/>
        <v>Association Loi 1901 non Reconnue d'Utilité Publique</v>
      </c>
      <c r="Q2853" t="str">
        <f t="shared" si="407"/>
        <v>36</v>
      </c>
      <c r="R2853" t="str">
        <f t="shared" si="408"/>
        <v>Tarifs conventionnels assurance maladie</v>
      </c>
      <c r="U2853" t="str">
        <f>"850024506"</f>
        <v>850024506</v>
      </c>
    </row>
    <row r="2854" spans="1:21" x14ac:dyDescent="0.3">
      <c r="A2854" t="str">
        <f>"270000581"</f>
        <v>270000581</v>
      </c>
      <c r="B2854" t="str">
        <f>"950 648 378 00020"</f>
        <v>950 648 378 00020</v>
      </c>
      <c r="D2854" t="str">
        <f>"CSI ADMR GAILLON"</f>
        <v>CSI ADMR GAILLON</v>
      </c>
      <c r="E2854" t="str">
        <f>"SENTE DU CLOS PAULMEL"</f>
        <v>SENTE DU CLOS PAULMEL</v>
      </c>
      <c r="F2854" t="str">
        <f>"1 PLACE ALLENDE"</f>
        <v>1 PLACE ALLENDE</v>
      </c>
      <c r="H2854" t="str">
        <f>"27600"</f>
        <v>27600</v>
      </c>
      <c r="I2854" t="str">
        <f>"GAILLON"</f>
        <v>GAILLON</v>
      </c>
      <c r="J2854" t="str">
        <f>"02 32 53 00 90 "</f>
        <v xml:space="preserve">02 32 53 00 90 </v>
      </c>
      <c r="L2854" s="1">
        <v>28672</v>
      </c>
      <c r="M2854" t="str">
        <f t="shared" si="411"/>
        <v>124</v>
      </c>
      <c r="N2854" t="str">
        <f t="shared" si="412"/>
        <v>Centre de Santé</v>
      </c>
      <c r="O2854" t="str">
        <f t="shared" si="413"/>
        <v>60</v>
      </c>
      <c r="P2854" t="str">
        <f t="shared" si="414"/>
        <v>Association Loi 1901 non Reconnue d'Utilité Publique</v>
      </c>
      <c r="Q2854" t="str">
        <f t="shared" si="407"/>
        <v>36</v>
      </c>
      <c r="R2854" t="str">
        <f t="shared" si="408"/>
        <v>Tarifs conventionnels assurance maladie</v>
      </c>
      <c r="U2854" t="str">
        <f>"270007453"</f>
        <v>270007453</v>
      </c>
    </row>
    <row r="2855" spans="1:21" x14ac:dyDescent="0.3">
      <c r="A2855" t="str">
        <f>"750012650"</f>
        <v>750012650</v>
      </c>
      <c r="B2855" t="str">
        <f>"227 500 055 00016"</f>
        <v>227 500 055 00016</v>
      </c>
      <c r="D2855" t="str">
        <f>"CDS MEDICAL ET DENTAIRE TISSERAND"</f>
        <v>CDS MEDICAL ET DENTAIRE TISSERAND</v>
      </c>
      <c r="F2855" t="str">
        <f>"92 RUE DE GERGOVIE"</f>
        <v>92 RUE DE GERGOVIE</v>
      </c>
      <c r="H2855" t="str">
        <f>"75014"</f>
        <v>75014</v>
      </c>
      <c r="I2855" t="str">
        <f>"PARIS"</f>
        <v>PARIS</v>
      </c>
      <c r="J2855" t="str">
        <f>"01 45 39 49 29 "</f>
        <v xml:space="preserve">01 45 39 49 29 </v>
      </c>
      <c r="L2855" s="1">
        <v>28664</v>
      </c>
      <c r="M2855" t="str">
        <f t="shared" si="411"/>
        <v>124</v>
      </c>
      <c r="N2855" t="str">
        <f t="shared" si="412"/>
        <v>Centre de Santé</v>
      </c>
      <c r="O2855" t="str">
        <f>"02"</f>
        <v>02</v>
      </c>
      <c r="P2855" t="str">
        <f>"Département"</f>
        <v>Département</v>
      </c>
      <c r="Q2855" t="str">
        <f t="shared" ref="Q2855:Q2918" si="415">"36"</f>
        <v>36</v>
      </c>
      <c r="R2855" t="str">
        <f t="shared" ref="R2855:R2918" si="416">"Tarifs conventionnels assurance maladie"</f>
        <v>Tarifs conventionnels assurance maladie</v>
      </c>
      <c r="U2855" t="str">
        <f>"750002008"</f>
        <v>750002008</v>
      </c>
    </row>
    <row r="2856" spans="1:21" x14ac:dyDescent="0.3">
      <c r="A2856" t="str">
        <f>"440011831"</f>
        <v>440011831</v>
      </c>
      <c r="B2856" t="str">
        <f>"308 973 635 00094"</f>
        <v>308 973 635 00094</v>
      </c>
      <c r="D2856" t="str">
        <f>"CENTRE DE SOINS INFIRMIERS"</f>
        <v>CENTRE DE SOINS INFIRMIERS</v>
      </c>
      <c r="F2856" t="str">
        <f>"2 RUE DES RENARDS"</f>
        <v>2 RUE DES RENARDS</v>
      </c>
      <c r="H2856" t="str">
        <f>"44300"</f>
        <v>44300</v>
      </c>
      <c r="I2856" t="str">
        <f>"NANTES"</f>
        <v>NANTES</v>
      </c>
      <c r="J2856" t="str">
        <f>"02 40 59 19 02 "</f>
        <v xml:space="preserve">02 40 59 19 02 </v>
      </c>
      <c r="L2856" s="1">
        <v>28657</v>
      </c>
      <c r="M2856" t="str">
        <f t="shared" si="411"/>
        <v>124</v>
      </c>
      <c r="N2856" t="str">
        <f t="shared" si="412"/>
        <v>Centre de Santé</v>
      </c>
      <c r="O2856" t="str">
        <f>"60"</f>
        <v>60</v>
      </c>
      <c r="P2856" t="str">
        <f>"Association Loi 1901 non Reconnue d'Utilité Publique"</f>
        <v>Association Loi 1901 non Reconnue d'Utilité Publique</v>
      </c>
      <c r="Q2856" t="str">
        <f t="shared" si="415"/>
        <v>36</v>
      </c>
      <c r="R2856" t="str">
        <f t="shared" si="416"/>
        <v>Tarifs conventionnels assurance maladie</v>
      </c>
      <c r="U2856" t="str">
        <f>"440005841"</f>
        <v>440005841</v>
      </c>
    </row>
    <row r="2857" spans="1:21" x14ac:dyDescent="0.3">
      <c r="A2857" t="str">
        <f>"350003877"</f>
        <v>350003877</v>
      </c>
      <c r="B2857" t="str">
        <f>"913 512 927 00017"</f>
        <v>913 512 927 00017</v>
      </c>
      <c r="D2857" t="str">
        <f>"CDS INFIRMIERS DE VITRE"</f>
        <v>CDS INFIRMIERS DE VITRE</v>
      </c>
      <c r="F2857" t="str">
        <f>"8 BOULEVARD IRÈNE JOLIOT CURIE"</f>
        <v>8 BOULEVARD IRÈNE JOLIOT CURIE</v>
      </c>
      <c r="G2857" t="str">
        <f>"BP 10327"</f>
        <v>BP 10327</v>
      </c>
      <c r="H2857" t="str">
        <f>"35500"</f>
        <v>35500</v>
      </c>
      <c r="I2857" t="str">
        <f>"VITRE"</f>
        <v>VITRE</v>
      </c>
      <c r="J2857" t="str">
        <f>"02 99 75 03 03 "</f>
        <v xml:space="preserve">02 99 75 03 03 </v>
      </c>
      <c r="K2857" t="str">
        <f>"02 99 75 37 23"</f>
        <v>02 99 75 37 23</v>
      </c>
      <c r="L2857" s="1">
        <v>28655</v>
      </c>
      <c r="M2857" t="str">
        <f t="shared" si="411"/>
        <v>124</v>
      </c>
      <c r="N2857" t="str">
        <f t="shared" si="412"/>
        <v>Centre de Santé</v>
      </c>
      <c r="O2857" t="str">
        <f>"60"</f>
        <v>60</v>
      </c>
      <c r="P2857" t="str">
        <f>"Association Loi 1901 non Reconnue d'Utilité Publique"</f>
        <v>Association Loi 1901 non Reconnue d'Utilité Publique</v>
      </c>
      <c r="Q2857" t="str">
        <f t="shared" si="415"/>
        <v>36</v>
      </c>
      <c r="R2857" t="str">
        <f t="shared" si="416"/>
        <v>Tarifs conventionnels assurance maladie</v>
      </c>
      <c r="U2857" t="str">
        <f>"350041497"</f>
        <v>350041497</v>
      </c>
    </row>
    <row r="2858" spans="1:21" x14ac:dyDescent="0.3">
      <c r="A2858" t="str">
        <f>"760782615"</f>
        <v>760782615</v>
      </c>
      <c r="B2858" t="str">
        <f>"775 672 272 04738"</f>
        <v>775 672 272 04738</v>
      </c>
      <c r="D2858" t="str">
        <f>"CSI CRF GODERVILLE"</f>
        <v>CSI CRF GODERVILLE</v>
      </c>
      <c r="F2858" t="str">
        <f>"34 RUE EMILE BENARD"</f>
        <v>34 RUE EMILE BENARD</v>
      </c>
      <c r="H2858" t="str">
        <f>"76110"</f>
        <v>76110</v>
      </c>
      <c r="I2858" t="str">
        <f>"GODERVILLE"</f>
        <v>GODERVILLE</v>
      </c>
      <c r="J2858" t="str">
        <f>"02 35 27 75 16 "</f>
        <v xml:space="preserve">02 35 27 75 16 </v>
      </c>
      <c r="L2858" s="1">
        <v>28654</v>
      </c>
      <c r="M2858" t="str">
        <f t="shared" si="411"/>
        <v>124</v>
      </c>
      <c r="N2858" t="str">
        <f t="shared" si="412"/>
        <v>Centre de Santé</v>
      </c>
      <c r="O2858" t="str">
        <f>"61"</f>
        <v>61</v>
      </c>
      <c r="P2858" t="str">
        <f>"Association Loi 1901 Reconnue d'Utilité Publique"</f>
        <v>Association Loi 1901 Reconnue d'Utilité Publique</v>
      </c>
      <c r="Q2858" t="str">
        <f t="shared" si="415"/>
        <v>36</v>
      </c>
      <c r="R2858" t="str">
        <f t="shared" si="416"/>
        <v>Tarifs conventionnels assurance maladie</v>
      </c>
      <c r="U2858" t="str">
        <f>"750721334"</f>
        <v>750721334</v>
      </c>
    </row>
    <row r="2859" spans="1:21" x14ac:dyDescent="0.3">
      <c r="A2859" t="str">
        <f>"440010007"</f>
        <v>440010007</v>
      </c>
      <c r="B2859" t="str">
        <f>"309 319 259 00037"</f>
        <v>309 319 259 00037</v>
      </c>
      <c r="D2859" t="str">
        <f>"CSI BOUAYE"</f>
        <v>CSI BOUAYE</v>
      </c>
      <c r="E2859" t="str">
        <f>"MAISON DE LA SANTE"</f>
        <v>MAISON DE LA SANTE</v>
      </c>
      <c r="F2859" t="str">
        <f>"1 RUE MADELEINE JORET"</f>
        <v>1 RUE MADELEINE JORET</v>
      </c>
      <c r="H2859" t="str">
        <f>"44830"</f>
        <v>44830</v>
      </c>
      <c r="I2859" t="str">
        <f>"BOUAYE"</f>
        <v>BOUAYE</v>
      </c>
      <c r="J2859" t="str">
        <f>"02 40 32 61 62 "</f>
        <v xml:space="preserve">02 40 32 61 62 </v>
      </c>
      <c r="L2859" s="1">
        <v>28625</v>
      </c>
      <c r="M2859" t="str">
        <f t="shared" si="411"/>
        <v>124</v>
      </c>
      <c r="N2859" t="str">
        <f t="shared" si="412"/>
        <v>Centre de Santé</v>
      </c>
      <c r="O2859" t="str">
        <f>"60"</f>
        <v>60</v>
      </c>
      <c r="P2859" t="str">
        <f>"Association Loi 1901 non Reconnue d'Utilité Publique"</f>
        <v>Association Loi 1901 non Reconnue d'Utilité Publique</v>
      </c>
      <c r="Q2859" t="str">
        <f t="shared" si="415"/>
        <v>36</v>
      </c>
      <c r="R2859" t="str">
        <f t="shared" si="416"/>
        <v>Tarifs conventionnels assurance maladie</v>
      </c>
      <c r="U2859" t="str">
        <f>"440003382"</f>
        <v>440003382</v>
      </c>
    </row>
    <row r="2860" spans="1:21" x14ac:dyDescent="0.3">
      <c r="A2860" t="str">
        <f>"750012635"</f>
        <v>750012635</v>
      </c>
      <c r="B2860" t="str">
        <f>"217 500 016 07865"</f>
        <v>217 500 016 07865</v>
      </c>
      <c r="D2860" t="str">
        <f>"CDS YVONNE POUZIN"</f>
        <v>CDS YVONNE POUZIN</v>
      </c>
      <c r="F2860" t="str">
        <f>"14 RUE VOLTA"</f>
        <v>14 RUE VOLTA</v>
      </c>
      <c r="H2860" t="str">
        <f>"75003"</f>
        <v>75003</v>
      </c>
      <c r="I2860" t="str">
        <f>"PARIS"</f>
        <v>PARIS</v>
      </c>
      <c r="J2860" t="str">
        <f>"01 48 87 49 87 "</f>
        <v xml:space="preserve">01 48 87 49 87 </v>
      </c>
      <c r="K2860" t="str">
        <f>"01 71 18 77 24"</f>
        <v>01 71 18 77 24</v>
      </c>
      <c r="L2860" s="1">
        <v>28607</v>
      </c>
      <c r="M2860" t="str">
        <f t="shared" si="411"/>
        <v>124</v>
      </c>
      <c r="N2860" t="str">
        <f t="shared" si="412"/>
        <v>Centre de Santé</v>
      </c>
      <c r="O2860" t="str">
        <f>"06"</f>
        <v>06</v>
      </c>
      <c r="P2860" t="str">
        <f>"Autre Collectivité Territoriale"</f>
        <v>Autre Collectivité Territoriale</v>
      </c>
      <c r="Q2860" t="str">
        <f t="shared" si="415"/>
        <v>36</v>
      </c>
      <c r="R2860" t="str">
        <f t="shared" si="416"/>
        <v>Tarifs conventionnels assurance maladie</v>
      </c>
      <c r="U2860" t="str">
        <f>"750805483"</f>
        <v>750805483</v>
      </c>
    </row>
    <row r="2861" spans="1:21" x14ac:dyDescent="0.3">
      <c r="A2861" t="str">
        <f>"910040203"</f>
        <v>910040203</v>
      </c>
      <c r="B2861" t="str">
        <f>"510 572 092 00011"</f>
        <v>510 572 092 00011</v>
      </c>
      <c r="D2861" t="str">
        <f>"CDS SOINS INFIRMIERS ST VINCENT D PAUL"</f>
        <v>CDS SOINS INFIRMIERS ST VINCENT D PAUL</v>
      </c>
      <c r="F2861" t="str">
        <f>"4 PLACE DE LA REPUBLIQUE"</f>
        <v>4 PLACE DE LA REPUBLIQUE</v>
      </c>
      <c r="H2861" t="str">
        <f>"91170"</f>
        <v>91170</v>
      </c>
      <c r="I2861" t="str">
        <f>"VIRY CHATILLON"</f>
        <v>VIRY CHATILLON</v>
      </c>
      <c r="J2861" t="str">
        <f>"01 69 05 06 12 "</f>
        <v xml:space="preserve">01 69 05 06 12 </v>
      </c>
      <c r="K2861" t="str">
        <f>"01 69 05 06 12"</f>
        <v>01 69 05 06 12</v>
      </c>
      <c r="L2861" s="1">
        <v>28601</v>
      </c>
      <c r="M2861" t="str">
        <f t="shared" si="411"/>
        <v>124</v>
      </c>
      <c r="N2861" t="str">
        <f t="shared" si="412"/>
        <v>Centre de Santé</v>
      </c>
      <c r="O2861" t="str">
        <f>"61"</f>
        <v>61</v>
      </c>
      <c r="P2861" t="str">
        <f>"Association Loi 1901 Reconnue d'Utilité Publique"</f>
        <v>Association Loi 1901 Reconnue d'Utilité Publique</v>
      </c>
      <c r="Q2861" t="str">
        <f t="shared" si="415"/>
        <v>36</v>
      </c>
      <c r="R2861" t="str">
        <f t="shared" si="416"/>
        <v>Tarifs conventionnels assurance maladie</v>
      </c>
      <c r="U2861" t="str">
        <f>"910017789"</f>
        <v>910017789</v>
      </c>
    </row>
    <row r="2862" spans="1:21" x14ac:dyDescent="0.3">
      <c r="A2862" t="str">
        <f>"120783071"</f>
        <v>120783071</v>
      </c>
      <c r="B2862" t="str">
        <f>"776 750 150 00059"</f>
        <v>776 750 150 00059</v>
      </c>
      <c r="D2862" t="str">
        <f>"CENTRE DE SOINS INFIRMIERS"</f>
        <v>CENTRE DE SOINS INFIRMIERS</v>
      </c>
      <c r="E2862" t="str">
        <f>"LOTISSEMENT VIDAL"</f>
        <v>LOTISSEMENT VIDAL</v>
      </c>
      <c r="F2862" t="str">
        <f>"AVENUE D'ESPALION"</f>
        <v>AVENUE D'ESPALION</v>
      </c>
      <c r="H2862" t="str">
        <f>"12130"</f>
        <v>12130</v>
      </c>
      <c r="I2862" t="str">
        <f>"ST GENIEZ D OLT ET D AUBRA"</f>
        <v>ST GENIEZ D OLT ET D AUBRA</v>
      </c>
      <c r="J2862" t="str">
        <f>"05 65 70 48 56 "</f>
        <v xml:space="preserve">05 65 70 48 56 </v>
      </c>
      <c r="L2862" s="1">
        <v>28584</v>
      </c>
      <c r="M2862" t="str">
        <f t="shared" si="411"/>
        <v>124</v>
      </c>
      <c r="N2862" t="str">
        <f t="shared" si="412"/>
        <v>Centre de Santé</v>
      </c>
      <c r="O2862" t="str">
        <f>"60"</f>
        <v>60</v>
      </c>
      <c r="P2862" t="str">
        <f>"Association Loi 1901 non Reconnue d'Utilité Publique"</f>
        <v>Association Loi 1901 non Reconnue d'Utilité Publique</v>
      </c>
      <c r="Q2862" t="str">
        <f t="shared" si="415"/>
        <v>36</v>
      </c>
      <c r="R2862" t="str">
        <f t="shared" si="416"/>
        <v>Tarifs conventionnels assurance maladie</v>
      </c>
      <c r="U2862" t="str">
        <f>"120785019"</f>
        <v>120785019</v>
      </c>
    </row>
    <row r="2863" spans="1:21" x14ac:dyDescent="0.3">
      <c r="A2863" t="str">
        <f>"290009513"</f>
        <v>290009513</v>
      </c>
      <c r="B2863" t="str">
        <f>"317 143 667 00051"</f>
        <v>317 143 667 00051</v>
      </c>
      <c r="D2863" t="str">
        <f>"CDS INFIRMIER CONCARNEAU"</f>
        <v>CDS INFIRMIER CONCARNEAU</v>
      </c>
      <c r="F2863" t="str">
        <f>"1 ZONE DE KERANSIGNOUR"</f>
        <v>1 ZONE DE KERANSIGNOUR</v>
      </c>
      <c r="H2863" t="str">
        <f>"29900"</f>
        <v>29900</v>
      </c>
      <c r="I2863" t="str">
        <f>"CONCARNEAU"</f>
        <v>CONCARNEAU</v>
      </c>
      <c r="J2863" t="str">
        <f>"02 98 97 42 40 "</f>
        <v xml:space="preserve">02 98 97 42 40 </v>
      </c>
      <c r="L2863" s="1">
        <v>28584</v>
      </c>
      <c r="M2863" t="str">
        <f t="shared" si="411"/>
        <v>124</v>
      </c>
      <c r="N2863" t="str">
        <f t="shared" si="412"/>
        <v>Centre de Santé</v>
      </c>
      <c r="O2863" t="str">
        <f>"60"</f>
        <v>60</v>
      </c>
      <c r="P2863" t="str">
        <f>"Association Loi 1901 non Reconnue d'Utilité Publique"</f>
        <v>Association Loi 1901 non Reconnue d'Utilité Publique</v>
      </c>
      <c r="Q2863" t="str">
        <f t="shared" si="415"/>
        <v>36</v>
      </c>
      <c r="R2863" t="str">
        <f t="shared" si="416"/>
        <v>Tarifs conventionnels assurance maladie</v>
      </c>
      <c r="U2863" t="str">
        <f>"290010156"</f>
        <v>290010156</v>
      </c>
    </row>
    <row r="2864" spans="1:21" x14ac:dyDescent="0.3">
      <c r="A2864" t="str">
        <f>"310781786"</f>
        <v>310781786</v>
      </c>
      <c r="B2864" t="str">
        <f>"306 002 494 00111"</f>
        <v>306 002 494 00111</v>
      </c>
      <c r="D2864" t="str">
        <f>"CENTRE DE SOINS INFIRMIERS SOUPETARD"</f>
        <v>CENTRE DE SOINS INFIRMIERS SOUPETARD</v>
      </c>
      <c r="F2864" t="str">
        <f>"1 IMPASSE JEAN CHAUBET"</f>
        <v>1 IMPASSE JEAN CHAUBET</v>
      </c>
      <c r="H2864" t="str">
        <f>"31500"</f>
        <v>31500</v>
      </c>
      <c r="I2864" t="str">
        <f>"TOULOUSE"</f>
        <v>TOULOUSE</v>
      </c>
      <c r="J2864" t="str">
        <f>"05 61 80 86 91 "</f>
        <v xml:space="preserve">05 61 80 86 91 </v>
      </c>
      <c r="K2864" t="str">
        <f>"05 61 80 18 91"</f>
        <v>05 61 80 18 91</v>
      </c>
      <c r="L2864" s="1">
        <v>28584</v>
      </c>
      <c r="M2864" t="str">
        <f t="shared" si="411"/>
        <v>124</v>
      </c>
      <c r="N2864" t="str">
        <f t="shared" si="412"/>
        <v>Centre de Santé</v>
      </c>
      <c r="O2864" t="str">
        <f>"60"</f>
        <v>60</v>
      </c>
      <c r="P2864" t="str">
        <f>"Association Loi 1901 non Reconnue d'Utilité Publique"</f>
        <v>Association Loi 1901 non Reconnue d'Utilité Publique</v>
      </c>
      <c r="Q2864" t="str">
        <f t="shared" si="415"/>
        <v>36</v>
      </c>
      <c r="R2864" t="str">
        <f t="shared" si="416"/>
        <v>Tarifs conventionnels assurance maladie</v>
      </c>
      <c r="U2864" t="str">
        <f>"310788815"</f>
        <v>310788815</v>
      </c>
    </row>
    <row r="2865" spans="1:21" x14ac:dyDescent="0.3">
      <c r="A2865" t="str">
        <f>"310786561"</f>
        <v>310786561</v>
      </c>
      <c r="B2865" t="str">
        <f>"776 950 529 00086"</f>
        <v>776 950 529 00086</v>
      </c>
      <c r="D2865" t="str">
        <f>"CABINET DENTAIRE"</f>
        <v>CABINET DENTAIRE</v>
      </c>
      <c r="F2865" t="str">
        <f>"26 ALLEE NIEL"</f>
        <v>26 ALLEE NIEL</v>
      </c>
      <c r="H2865" t="str">
        <f>"31600"</f>
        <v>31600</v>
      </c>
      <c r="I2865" t="str">
        <f>"MURET"</f>
        <v>MURET</v>
      </c>
      <c r="J2865" t="str">
        <f>"05 61 51 23 23 "</f>
        <v xml:space="preserve">05 61 51 23 23 </v>
      </c>
      <c r="L2865" s="1">
        <v>28584</v>
      </c>
      <c r="M2865" t="str">
        <f t="shared" si="411"/>
        <v>124</v>
      </c>
      <c r="N2865" t="str">
        <f t="shared" si="412"/>
        <v>Centre de Santé</v>
      </c>
      <c r="O2865" t="str">
        <f>"47"</f>
        <v>47</v>
      </c>
      <c r="P2865" t="str">
        <f>"Société Mutualiste"</f>
        <v>Société Mutualiste</v>
      </c>
      <c r="Q2865" t="str">
        <f t="shared" si="415"/>
        <v>36</v>
      </c>
      <c r="R2865" t="str">
        <f t="shared" si="416"/>
        <v>Tarifs conventionnels assurance maladie</v>
      </c>
      <c r="U2865" t="str">
        <f>"310788682"</f>
        <v>310788682</v>
      </c>
    </row>
    <row r="2866" spans="1:21" x14ac:dyDescent="0.3">
      <c r="A2866" t="str">
        <f>"930010871"</f>
        <v>930010871</v>
      </c>
      <c r="B2866" t="str">
        <f>"219 300 050 00834"</f>
        <v>219 300 050 00834</v>
      </c>
      <c r="D2866" t="str">
        <f>"CDS MEDICO-SOCIAL MUNICIPAL"</f>
        <v>CDS MEDICO-SOCIAL MUNICIPAL</v>
      </c>
      <c r="F2866" t="str">
        <f>"ALLEE DES MERISIERS"</f>
        <v>ALLEE DES MERISIERS</v>
      </c>
      <c r="H2866" t="str">
        <f>"93600"</f>
        <v>93600</v>
      </c>
      <c r="I2866" t="str">
        <f>"AULNAY SOUS BOIS"</f>
        <v>AULNAY SOUS BOIS</v>
      </c>
      <c r="J2866" t="str">
        <f>"01 48 19 90 45 "</f>
        <v xml:space="preserve">01 48 19 90 45 </v>
      </c>
      <c r="K2866" t="str">
        <f>"01 48 19 90 44"</f>
        <v>01 48 19 90 44</v>
      </c>
      <c r="L2866" s="1">
        <v>28569</v>
      </c>
      <c r="M2866" t="str">
        <f t="shared" si="411"/>
        <v>124</v>
      </c>
      <c r="N2866" t="str">
        <f t="shared" si="412"/>
        <v>Centre de Santé</v>
      </c>
      <c r="O2866" t="str">
        <f>"03"</f>
        <v>03</v>
      </c>
      <c r="P2866" t="str">
        <f>"Commune"</f>
        <v>Commune</v>
      </c>
      <c r="Q2866" t="str">
        <f t="shared" si="415"/>
        <v>36</v>
      </c>
      <c r="R2866" t="str">
        <f t="shared" si="416"/>
        <v>Tarifs conventionnels assurance maladie</v>
      </c>
      <c r="U2866" t="str">
        <f>"930812870"</f>
        <v>930812870</v>
      </c>
    </row>
    <row r="2867" spans="1:21" x14ac:dyDescent="0.3">
      <c r="A2867" t="str">
        <f>"490528395"</f>
        <v>490528395</v>
      </c>
      <c r="B2867" t="str">
        <f>"313 126 799 00011"</f>
        <v>313 126 799 00011</v>
      </c>
      <c r="D2867" t="str">
        <f>"CSI DOUE LA FONTAINE"</f>
        <v>CSI DOUE LA FONTAINE</v>
      </c>
      <c r="E2867" t="str">
        <f>"MAIRIE"</f>
        <v>MAIRIE</v>
      </c>
      <c r="F2867" t="str">
        <f>"10 RUE SAINT DENIS"</f>
        <v>10 RUE SAINT DENIS</v>
      </c>
      <c r="H2867" t="str">
        <f>"49700"</f>
        <v>49700</v>
      </c>
      <c r="I2867" t="str">
        <f>"DOUE EN ANJOU"</f>
        <v>DOUE EN ANJOU</v>
      </c>
      <c r="J2867" t="str">
        <f>"02 41 59 20 52 "</f>
        <v xml:space="preserve">02 41 59 20 52 </v>
      </c>
      <c r="L2867" s="1">
        <v>28557</v>
      </c>
      <c r="M2867" t="str">
        <f t="shared" si="411"/>
        <v>124</v>
      </c>
      <c r="N2867" t="str">
        <f t="shared" si="412"/>
        <v>Centre de Santé</v>
      </c>
      <c r="O2867" t="str">
        <f>"60"</f>
        <v>60</v>
      </c>
      <c r="P2867" t="str">
        <f>"Association Loi 1901 non Reconnue d'Utilité Publique"</f>
        <v>Association Loi 1901 non Reconnue d'Utilité Publique</v>
      </c>
      <c r="Q2867" t="str">
        <f t="shared" si="415"/>
        <v>36</v>
      </c>
      <c r="R2867" t="str">
        <f t="shared" si="416"/>
        <v>Tarifs conventionnels assurance maladie</v>
      </c>
      <c r="U2867" t="str">
        <f>"490001740"</f>
        <v>490001740</v>
      </c>
    </row>
    <row r="2868" spans="1:21" x14ac:dyDescent="0.3">
      <c r="A2868" t="str">
        <f>"430004077"</f>
        <v>430004077</v>
      </c>
      <c r="B2868" t="str">
        <f>"312 745 243 00013"</f>
        <v>312 745 243 00013</v>
      </c>
      <c r="D2868" t="str">
        <f>"CENTRE SOINS PLATEAU VELLAVE"</f>
        <v>CENTRE SOINS PLATEAU VELLAVE</v>
      </c>
      <c r="F2868" t="str">
        <f>"MAISON DES SERVICES PUBLICS"</f>
        <v>MAISON DES SERVICES PUBLICS</v>
      </c>
      <c r="H2868" t="str">
        <f>"43490"</f>
        <v>43490</v>
      </c>
      <c r="I2868" t="str">
        <f>"COSTAROS"</f>
        <v>COSTAROS</v>
      </c>
      <c r="J2868" t="str">
        <f>"04 71 57 18 73 "</f>
        <v xml:space="preserve">04 71 57 18 73 </v>
      </c>
      <c r="L2868" s="1">
        <v>28550</v>
      </c>
      <c r="M2868" t="str">
        <f t="shared" si="411"/>
        <v>124</v>
      </c>
      <c r="N2868" t="str">
        <f t="shared" si="412"/>
        <v>Centre de Santé</v>
      </c>
      <c r="O2868" t="str">
        <f>"60"</f>
        <v>60</v>
      </c>
      <c r="P2868" t="str">
        <f>"Association Loi 1901 non Reconnue d'Utilité Publique"</f>
        <v>Association Loi 1901 non Reconnue d'Utilité Publique</v>
      </c>
      <c r="Q2868" t="str">
        <f t="shared" si="415"/>
        <v>36</v>
      </c>
      <c r="R2868" t="str">
        <f t="shared" si="416"/>
        <v>Tarifs conventionnels assurance maladie</v>
      </c>
      <c r="U2868" t="str">
        <f>"430000570"</f>
        <v>430000570</v>
      </c>
    </row>
    <row r="2869" spans="1:21" x14ac:dyDescent="0.3">
      <c r="A2869" t="str">
        <f>"590780870"</f>
        <v>590780870</v>
      </c>
      <c r="B2869" t="str">
        <f>"783 702 764 00011"</f>
        <v>783 702 764 00011</v>
      </c>
      <c r="D2869" t="str">
        <f>"CENTRE DE SANTÉ POLYVALENT"</f>
        <v>CENTRE DE SANTÉ POLYVALENT</v>
      </c>
      <c r="F2869" t="str">
        <f>"462 RUE DU FAUBOURG D'ARRAS"</f>
        <v>462 RUE DU FAUBOURG D'ARRAS</v>
      </c>
      <c r="H2869" t="str">
        <f>"59000"</f>
        <v>59000</v>
      </c>
      <c r="I2869" t="str">
        <f>"LILLE"</f>
        <v>LILLE</v>
      </c>
      <c r="J2869" t="str">
        <f>"03 20 96 19 51 "</f>
        <v xml:space="preserve">03 20 96 19 51 </v>
      </c>
      <c r="L2869" s="1">
        <v>28527</v>
      </c>
      <c r="M2869" t="str">
        <f t="shared" si="411"/>
        <v>124</v>
      </c>
      <c r="N2869" t="str">
        <f t="shared" si="412"/>
        <v>Centre de Santé</v>
      </c>
      <c r="O2869" t="str">
        <f>"60"</f>
        <v>60</v>
      </c>
      <c r="P2869" t="str">
        <f>"Association Loi 1901 non Reconnue d'Utilité Publique"</f>
        <v>Association Loi 1901 non Reconnue d'Utilité Publique</v>
      </c>
      <c r="Q2869" t="str">
        <f t="shared" si="415"/>
        <v>36</v>
      </c>
      <c r="R2869" t="str">
        <f t="shared" si="416"/>
        <v>Tarifs conventionnels assurance maladie</v>
      </c>
      <c r="U2869" t="str">
        <f>"590000261"</f>
        <v>590000261</v>
      </c>
    </row>
    <row r="2870" spans="1:21" x14ac:dyDescent="0.3">
      <c r="A2870" t="str">
        <f>"910040021"</f>
        <v>910040021</v>
      </c>
      <c r="B2870" t="str">
        <f>"404 296 022 00035"</f>
        <v>404 296 022 00035</v>
      </c>
      <c r="D2870" t="str">
        <f>"CDS SOINS INFIRMIERS"</f>
        <v>CDS SOINS INFIRMIERS</v>
      </c>
      <c r="F2870" t="str">
        <f>"12 RUE GENERAL LECLERC"</f>
        <v>12 RUE GENERAL LECLERC</v>
      </c>
      <c r="H2870" t="str">
        <f>"91440"</f>
        <v>91440</v>
      </c>
      <c r="I2870" t="str">
        <f>"BURES SUR YVETTE"</f>
        <v>BURES SUR YVETTE</v>
      </c>
      <c r="J2870" t="str">
        <f>"01 69 07 59 78 "</f>
        <v xml:space="preserve">01 69 07 59 78 </v>
      </c>
      <c r="K2870" t="str">
        <f>"01 69 07 59 39"</f>
        <v>01 69 07 59 39</v>
      </c>
      <c r="L2870" s="1">
        <v>28527</v>
      </c>
      <c r="M2870" t="str">
        <f t="shared" si="411"/>
        <v>124</v>
      </c>
      <c r="N2870" t="str">
        <f t="shared" si="412"/>
        <v>Centre de Santé</v>
      </c>
      <c r="O2870" t="str">
        <f>"60"</f>
        <v>60</v>
      </c>
      <c r="P2870" t="str">
        <f>"Association Loi 1901 non Reconnue d'Utilité Publique"</f>
        <v>Association Loi 1901 non Reconnue d'Utilité Publique</v>
      </c>
      <c r="Q2870" t="str">
        <f t="shared" si="415"/>
        <v>36</v>
      </c>
      <c r="R2870" t="str">
        <f t="shared" si="416"/>
        <v>Tarifs conventionnels assurance maladie</v>
      </c>
      <c r="U2870" t="str">
        <f>"910017342"</f>
        <v>910017342</v>
      </c>
    </row>
    <row r="2871" spans="1:21" x14ac:dyDescent="0.3">
      <c r="A2871" t="str">
        <f>"130785405"</f>
        <v>130785405</v>
      </c>
      <c r="D2871" t="str">
        <f>"CDS DENTAIRE D AIX EN PROVENCE"</f>
        <v>CDS DENTAIRE D AIX EN PROVENCE</v>
      </c>
      <c r="F2871" t="str">
        <f>"50 AVENUE DU DR AURIENTIS"</f>
        <v>50 AVENUE DU DR AURIENTIS</v>
      </c>
      <c r="H2871" t="str">
        <f>"13100"</f>
        <v>13100</v>
      </c>
      <c r="I2871" t="str">
        <f>"AIX EN PROVENCE"</f>
        <v>AIX EN PROVENCE</v>
      </c>
      <c r="J2871" t="str">
        <f>"04 42 93 35 35 "</f>
        <v xml:space="preserve">04 42 93 35 35 </v>
      </c>
      <c r="L2871" s="1">
        <v>28522</v>
      </c>
      <c r="M2871" t="str">
        <f t="shared" si="411"/>
        <v>124</v>
      </c>
      <c r="N2871" t="str">
        <f t="shared" si="412"/>
        <v>Centre de Santé</v>
      </c>
      <c r="O2871" t="str">
        <f>"47"</f>
        <v>47</v>
      </c>
      <c r="P2871" t="str">
        <f>"Société Mutualiste"</f>
        <v>Société Mutualiste</v>
      </c>
      <c r="Q2871" t="str">
        <f t="shared" si="415"/>
        <v>36</v>
      </c>
      <c r="R2871" t="str">
        <f t="shared" si="416"/>
        <v>Tarifs conventionnels assurance maladie</v>
      </c>
      <c r="U2871" t="str">
        <f>"690048111"</f>
        <v>690048111</v>
      </c>
    </row>
    <row r="2872" spans="1:21" x14ac:dyDescent="0.3">
      <c r="A2872" t="str">
        <f>"440025757"</f>
        <v>440025757</v>
      </c>
      <c r="B2872" t="str">
        <f>"308 973 635 00235"</f>
        <v>308 973 635 00235</v>
      </c>
      <c r="D2872" t="str">
        <f>"CENTRE DE SOINS INFIRMIERS INDRE"</f>
        <v>CENTRE DE SOINS INFIRMIERS INDRE</v>
      </c>
      <c r="E2872" t="str">
        <f>"BASSE INDRE"</f>
        <v>BASSE INDRE</v>
      </c>
      <c r="F2872" t="str">
        <f>"12 QUAI LANGLOIS"</f>
        <v>12 QUAI LANGLOIS</v>
      </c>
      <c r="H2872" t="str">
        <f>"44610"</f>
        <v>44610</v>
      </c>
      <c r="I2872" t="str">
        <f>"INDRE"</f>
        <v>INDRE</v>
      </c>
      <c r="J2872" t="str">
        <f>"02 40 86 03 72 "</f>
        <v xml:space="preserve">02 40 86 03 72 </v>
      </c>
      <c r="L2872" s="1">
        <v>28522</v>
      </c>
      <c r="M2872" t="str">
        <f t="shared" si="411"/>
        <v>124</v>
      </c>
      <c r="N2872" t="str">
        <f t="shared" si="412"/>
        <v>Centre de Santé</v>
      </c>
      <c r="O2872" t="str">
        <f>"60"</f>
        <v>60</v>
      </c>
      <c r="P2872" t="str">
        <f>"Association Loi 1901 non Reconnue d'Utilité Publique"</f>
        <v>Association Loi 1901 non Reconnue d'Utilité Publique</v>
      </c>
      <c r="Q2872" t="str">
        <f t="shared" si="415"/>
        <v>36</v>
      </c>
      <c r="R2872" t="str">
        <f t="shared" si="416"/>
        <v>Tarifs conventionnels assurance maladie</v>
      </c>
      <c r="U2872" t="str">
        <f>"440005841"</f>
        <v>440005841</v>
      </c>
    </row>
    <row r="2873" spans="1:21" x14ac:dyDescent="0.3">
      <c r="A2873" t="str">
        <f>"890002207"</f>
        <v>890002207</v>
      </c>
      <c r="B2873" t="str">
        <f>"752 433 482 00011"</f>
        <v>752 433 482 00011</v>
      </c>
      <c r="D2873" t="str">
        <f>"CSI LA PROVIDENCE"</f>
        <v>CSI LA PROVIDENCE</v>
      </c>
      <c r="F2873" t="str">
        <f>"26 BOULEVARD GEORGES CLEMENCEAU"</f>
        <v>26 BOULEVARD GEORGES CLEMENCEAU</v>
      </c>
      <c r="H2873" t="str">
        <f>"89100"</f>
        <v>89100</v>
      </c>
      <c r="I2873" t="str">
        <f>"SENS"</f>
        <v>SENS</v>
      </c>
      <c r="J2873" t="str">
        <f>"03 86 65 60 35 "</f>
        <v xml:space="preserve">03 86 65 60 35 </v>
      </c>
      <c r="L2873" s="1">
        <v>28514</v>
      </c>
      <c r="M2873" t="str">
        <f t="shared" si="411"/>
        <v>124</v>
      </c>
      <c r="N2873" t="str">
        <f t="shared" si="412"/>
        <v>Centre de Santé</v>
      </c>
      <c r="O2873" t="str">
        <f>"60"</f>
        <v>60</v>
      </c>
      <c r="P2873" t="str">
        <f>"Association Loi 1901 non Reconnue d'Utilité Publique"</f>
        <v>Association Loi 1901 non Reconnue d'Utilité Publique</v>
      </c>
      <c r="Q2873" t="str">
        <f t="shared" si="415"/>
        <v>36</v>
      </c>
      <c r="R2873" t="str">
        <f t="shared" si="416"/>
        <v>Tarifs conventionnels assurance maladie</v>
      </c>
      <c r="U2873" t="str">
        <f>"890009798"</f>
        <v>890009798</v>
      </c>
    </row>
    <row r="2874" spans="1:21" x14ac:dyDescent="0.3">
      <c r="A2874" t="str">
        <f>"570021626"</f>
        <v>570021626</v>
      </c>
      <c r="B2874" t="str">
        <f>"339 626 053 00039"</f>
        <v>339 626 053 00039</v>
      </c>
      <c r="D2874" t="str">
        <f>"CTRE DE SOINS INFIRMIERS DE L'ACSI"</f>
        <v>CTRE DE SOINS INFIRMIERS DE L'ACSI</v>
      </c>
      <c r="F2874" t="str">
        <f>"2 RUE DU MARECHAL FOCH"</f>
        <v>2 RUE DU MARECHAL FOCH</v>
      </c>
      <c r="H2874" t="str">
        <f>"57200"</f>
        <v>57200</v>
      </c>
      <c r="I2874" t="str">
        <f>"SARREGUEMINES"</f>
        <v>SARREGUEMINES</v>
      </c>
      <c r="J2874" t="str">
        <f>"03 87 28 04 74 "</f>
        <v xml:space="preserve">03 87 28 04 74 </v>
      </c>
      <c r="L2874" s="1">
        <v>28511</v>
      </c>
      <c r="M2874" t="str">
        <f t="shared" si="411"/>
        <v>124</v>
      </c>
      <c r="N2874" t="str">
        <f t="shared" si="412"/>
        <v>Centre de Santé</v>
      </c>
      <c r="O2874" t="str">
        <f>"62"</f>
        <v>62</v>
      </c>
      <c r="P2874" t="str">
        <f>"Association de Droit Local"</f>
        <v>Association de Droit Local</v>
      </c>
      <c r="Q2874" t="str">
        <f t="shared" si="415"/>
        <v>36</v>
      </c>
      <c r="R2874" t="str">
        <f t="shared" si="416"/>
        <v>Tarifs conventionnels assurance maladie</v>
      </c>
      <c r="U2874" t="str">
        <f>"570021600"</f>
        <v>570021600</v>
      </c>
    </row>
    <row r="2875" spans="1:21" x14ac:dyDescent="0.3">
      <c r="A2875" t="str">
        <f>"750012619"</f>
        <v>750012619</v>
      </c>
      <c r="B2875" t="str">
        <f>"313 524 753 00081"</f>
        <v>313 524 753 00081</v>
      </c>
      <c r="D2875" t="str">
        <f>"CDS SAINT LAZARE"</f>
        <v>CDS SAINT LAZARE</v>
      </c>
      <c r="E2875" t="str">
        <f>"ANGLE  75 RUE D ANJOU"</f>
        <v>ANGLE  75 RUE D ANJOU</v>
      </c>
      <c r="F2875" t="str">
        <f>"13 RUE DE LA PEPINIERE"</f>
        <v>13 RUE DE LA PEPINIERE</v>
      </c>
      <c r="H2875" t="str">
        <f>"75008"</f>
        <v>75008</v>
      </c>
      <c r="I2875" t="str">
        <f>"PARIS"</f>
        <v>PARIS</v>
      </c>
      <c r="J2875" t="str">
        <f>"01 58 22 90 02 "</f>
        <v xml:space="preserve">01 58 22 90 02 </v>
      </c>
      <c r="K2875" t="str">
        <f>"01 58 22 90 08"</f>
        <v>01 58 22 90 08</v>
      </c>
      <c r="L2875" s="1">
        <v>28494</v>
      </c>
      <c r="M2875" t="str">
        <f t="shared" si="411"/>
        <v>124</v>
      </c>
      <c r="N2875" t="str">
        <f t="shared" si="412"/>
        <v>Centre de Santé</v>
      </c>
      <c r="O2875" t="str">
        <f>"60"</f>
        <v>60</v>
      </c>
      <c r="P2875" t="str">
        <f>"Association Loi 1901 non Reconnue d'Utilité Publique"</f>
        <v>Association Loi 1901 non Reconnue d'Utilité Publique</v>
      </c>
      <c r="Q2875" t="str">
        <f t="shared" si="415"/>
        <v>36</v>
      </c>
      <c r="R2875" t="str">
        <f t="shared" si="416"/>
        <v>Tarifs conventionnels assurance maladie</v>
      </c>
      <c r="U2875" t="str">
        <f>"750819583"</f>
        <v>750819583</v>
      </c>
    </row>
    <row r="2876" spans="1:21" x14ac:dyDescent="0.3">
      <c r="A2876" t="str">
        <f>"120782990"</f>
        <v>120782990</v>
      </c>
      <c r="B2876" t="str">
        <f>"349 416 040 00039"</f>
        <v>349 416 040 00039</v>
      </c>
      <c r="D2876" t="str">
        <f>"CENTRE DE SANTE POLYVALENT"</f>
        <v>CENTRE DE SANTE POLYVALENT</v>
      </c>
      <c r="F2876" t="str">
        <f>"4 ROUTE DE MILLAU"</f>
        <v>4 ROUTE DE MILLAU</v>
      </c>
      <c r="H2876" t="str">
        <f>"12230"</f>
        <v>12230</v>
      </c>
      <c r="I2876" t="str">
        <f>"NANT"</f>
        <v>NANT</v>
      </c>
      <c r="J2876" t="str">
        <f>"05 65 62 25 91 "</f>
        <v xml:space="preserve">05 65 62 25 91 </v>
      </c>
      <c r="L2876" s="1">
        <v>28491</v>
      </c>
      <c r="M2876" t="str">
        <f t="shared" si="411"/>
        <v>124</v>
      </c>
      <c r="N2876" t="str">
        <f t="shared" si="412"/>
        <v>Centre de Santé</v>
      </c>
      <c r="O2876" t="str">
        <f>"60"</f>
        <v>60</v>
      </c>
      <c r="P2876" t="str">
        <f>"Association Loi 1901 non Reconnue d'Utilité Publique"</f>
        <v>Association Loi 1901 non Reconnue d'Utilité Publique</v>
      </c>
      <c r="Q2876" t="str">
        <f t="shared" si="415"/>
        <v>36</v>
      </c>
      <c r="R2876" t="str">
        <f t="shared" si="416"/>
        <v>Tarifs conventionnels assurance maladie</v>
      </c>
      <c r="U2876" t="str">
        <f>"120787445"</f>
        <v>120787445</v>
      </c>
    </row>
    <row r="2877" spans="1:21" x14ac:dyDescent="0.3">
      <c r="A2877" t="str">
        <f>"390783207"</f>
        <v>390783207</v>
      </c>
      <c r="B2877" t="str">
        <f>"312 126 659 00043"</f>
        <v>312 126 659 00043</v>
      </c>
      <c r="D2877" t="str">
        <f>"CTRE SANTE INFIR MOUCHARD ET SA RÉGION"</f>
        <v>CTRE SANTE INFIR MOUCHARD ET SA RÉGION</v>
      </c>
      <c r="F2877" t="str">
        <f>"11 RUE DE STRASBOURG"</f>
        <v>11 RUE DE STRASBOURG</v>
      </c>
      <c r="H2877" t="str">
        <f>"39330"</f>
        <v>39330</v>
      </c>
      <c r="I2877" t="str">
        <f>"MOUCHARD"</f>
        <v>MOUCHARD</v>
      </c>
      <c r="J2877" t="str">
        <f>"03 84 73 83 25 "</f>
        <v xml:space="preserve">03 84 73 83 25 </v>
      </c>
      <c r="L2877" s="1">
        <v>28491</v>
      </c>
      <c r="M2877" t="str">
        <f t="shared" si="411"/>
        <v>124</v>
      </c>
      <c r="N2877" t="str">
        <f t="shared" si="412"/>
        <v>Centre de Santé</v>
      </c>
      <c r="O2877" t="str">
        <f>"60"</f>
        <v>60</v>
      </c>
      <c r="P2877" t="str">
        <f>"Association Loi 1901 non Reconnue d'Utilité Publique"</f>
        <v>Association Loi 1901 non Reconnue d'Utilité Publique</v>
      </c>
      <c r="Q2877" t="str">
        <f t="shared" si="415"/>
        <v>36</v>
      </c>
      <c r="R2877" t="str">
        <f t="shared" si="416"/>
        <v>Tarifs conventionnels assurance maladie</v>
      </c>
      <c r="U2877" t="str">
        <f>"390000578"</f>
        <v>390000578</v>
      </c>
    </row>
    <row r="2878" spans="1:21" x14ac:dyDescent="0.3">
      <c r="A2878" t="str">
        <f>"510000672"</f>
        <v>510000672</v>
      </c>
      <c r="B2878" t="str">
        <f>"775 672 272 20718"</f>
        <v>775 672 272 20718</v>
      </c>
      <c r="D2878" t="str">
        <f>"CTRE DE SOINS INFIRMIERS DEPARTEMENTAL"</f>
        <v>CTRE DE SOINS INFIRMIERS DEPARTEMENTAL</v>
      </c>
      <c r="F2878" t="str">
        <f>"3 RUE CHOCATELLE"</f>
        <v>3 RUE CHOCATELLE</v>
      </c>
      <c r="H2878" t="str">
        <f>"51200"</f>
        <v>51200</v>
      </c>
      <c r="I2878" t="str">
        <f>"EPERNAY"</f>
        <v>EPERNAY</v>
      </c>
      <c r="J2878" t="str">
        <f>"03 26 54 34 34 "</f>
        <v xml:space="preserve">03 26 54 34 34 </v>
      </c>
      <c r="K2878" t="str">
        <f>"03 26 32 20 79"</f>
        <v>03 26 32 20 79</v>
      </c>
      <c r="L2878" s="1">
        <v>28491</v>
      </c>
      <c r="M2878" t="str">
        <f t="shared" si="411"/>
        <v>124</v>
      </c>
      <c r="N2878" t="str">
        <f t="shared" si="412"/>
        <v>Centre de Santé</v>
      </c>
      <c r="O2878" t="str">
        <f>"61"</f>
        <v>61</v>
      </c>
      <c r="P2878" t="str">
        <f>"Association Loi 1901 Reconnue d'Utilité Publique"</f>
        <v>Association Loi 1901 Reconnue d'Utilité Publique</v>
      </c>
      <c r="Q2878" t="str">
        <f t="shared" si="415"/>
        <v>36</v>
      </c>
      <c r="R2878" t="str">
        <f t="shared" si="416"/>
        <v>Tarifs conventionnels assurance maladie</v>
      </c>
      <c r="U2878" t="str">
        <f>"750721334"</f>
        <v>750721334</v>
      </c>
    </row>
    <row r="2879" spans="1:21" x14ac:dyDescent="0.3">
      <c r="A2879" t="str">
        <f>"680002532"</f>
        <v>680002532</v>
      </c>
      <c r="B2879" t="str">
        <f>"330 274 390 00021"</f>
        <v>330 274 390 00021</v>
      </c>
      <c r="D2879" t="str">
        <f>"CENTRE DE SOINS INFIRMIERS BARTENHEIM"</f>
        <v>CENTRE DE SOINS INFIRMIERS BARTENHEIM</v>
      </c>
      <c r="E2879" t="str">
        <f>"A"</f>
        <v>A</v>
      </c>
      <c r="F2879" t="str">
        <f>"1 RUE DE L'EST"</f>
        <v>1 RUE DE L'EST</v>
      </c>
      <c r="H2879" t="str">
        <f>"68870"</f>
        <v>68870</v>
      </c>
      <c r="I2879" t="str">
        <f>"BARTENHEIM"</f>
        <v>BARTENHEIM</v>
      </c>
      <c r="J2879" t="str">
        <f>"03 89 68 30 46 "</f>
        <v xml:space="preserve">03 89 68 30 46 </v>
      </c>
      <c r="K2879" t="str">
        <f>"03 89 70 79 87"</f>
        <v>03 89 70 79 87</v>
      </c>
      <c r="L2879" s="1">
        <v>28491</v>
      </c>
      <c r="M2879" t="str">
        <f t="shared" si="411"/>
        <v>124</v>
      </c>
      <c r="N2879" t="str">
        <f t="shared" si="412"/>
        <v>Centre de Santé</v>
      </c>
      <c r="O2879" t="str">
        <f>"62"</f>
        <v>62</v>
      </c>
      <c r="P2879" t="str">
        <f>"Association de Droit Local"</f>
        <v>Association de Droit Local</v>
      </c>
      <c r="Q2879" t="str">
        <f t="shared" si="415"/>
        <v>36</v>
      </c>
      <c r="R2879" t="str">
        <f t="shared" si="416"/>
        <v>Tarifs conventionnels assurance maladie</v>
      </c>
      <c r="U2879" t="str">
        <f>"680013539"</f>
        <v>680013539</v>
      </c>
    </row>
    <row r="2880" spans="1:21" x14ac:dyDescent="0.3">
      <c r="A2880" t="str">
        <f>"120783063"</f>
        <v>120783063</v>
      </c>
      <c r="B2880" t="str">
        <f>"442 491 197 00640"</f>
        <v>442 491 197 00640</v>
      </c>
      <c r="D2880" t="str">
        <f>"CENTRE DE SOINS INFIRMIERS"</f>
        <v>CENTRE DE SOINS INFIRMIERS</v>
      </c>
      <c r="F2880" t="str">
        <f>"3 RUE EMILE COMBES"</f>
        <v>3 RUE EMILE COMBES</v>
      </c>
      <c r="H2880" t="str">
        <f>"12700"</f>
        <v>12700</v>
      </c>
      <c r="I2880" t="str">
        <f>"CAPDENAC GARE"</f>
        <v>CAPDENAC GARE</v>
      </c>
      <c r="J2880" t="str">
        <f>"05 65 63 84 26 "</f>
        <v xml:space="preserve">05 65 63 84 26 </v>
      </c>
      <c r="L2880" s="1">
        <v>28471</v>
      </c>
      <c r="M2880" t="str">
        <f t="shared" si="411"/>
        <v>124</v>
      </c>
      <c r="N2880" t="str">
        <f t="shared" si="412"/>
        <v>Centre de Santé</v>
      </c>
      <c r="O2880" t="str">
        <f>"47"</f>
        <v>47</v>
      </c>
      <c r="P2880" t="str">
        <f>"Société Mutualiste"</f>
        <v>Société Mutualiste</v>
      </c>
      <c r="Q2880" t="str">
        <f t="shared" si="415"/>
        <v>36</v>
      </c>
      <c r="R2880" t="str">
        <f t="shared" si="416"/>
        <v>Tarifs conventionnels assurance maladie</v>
      </c>
      <c r="U2880" t="str">
        <f>"120784616"</f>
        <v>120784616</v>
      </c>
    </row>
    <row r="2881" spans="1:21" x14ac:dyDescent="0.3">
      <c r="A2881" t="str">
        <f>"670781483"</f>
        <v>670781483</v>
      </c>
      <c r="B2881" t="str">
        <f>"501 436 919 00036"</f>
        <v>501 436 919 00036</v>
      </c>
      <c r="D2881" t="str">
        <f>"CENTRE DE SOINS VIE ET SANTÉ"</f>
        <v>CENTRE DE SOINS VIE ET SANTÉ</v>
      </c>
      <c r="F2881" t="str">
        <f>"34 AVENUE DE PÉRIGUEUX"</f>
        <v>34 AVENUE DE PÉRIGUEUX</v>
      </c>
      <c r="H2881" t="str">
        <f>"67800"</f>
        <v>67800</v>
      </c>
      <c r="I2881" t="str">
        <f>"BISCHHEIM"</f>
        <v>BISCHHEIM</v>
      </c>
      <c r="J2881" t="str">
        <f>"03 88 33 00 51 "</f>
        <v xml:space="preserve">03 88 33 00 51 </v>
      </c>
      <c r="L2881" s="1">
        <v>28452</v>
      </c>
      <c r="M2881" t="str">
        <f t="shared" si="411"/>
        <v>124</v>
      </c>
      <c r="N2881" t="str">
        <f t="shared" si="412"/>
        <v>Centre de Santé</v>
      </c>
      <c r="O2881" t="str">
        <f>"75"</f>
        <v>75</v>
      </c>
      <c r="P2881" t="str">
        <f>"Autre Société"</f>
        <v>Autre Société</v>
      </c>
      <c r="Q2881" t="str">
        <f t="shared" si="415"/>
        <v>36</v>
      </c>
      <c r="R2881" t="str">
        <f t="shared" si="416"/>
        <v>Tarifs conventionnels assurance maladie</v>
      </c>
      <c r="U2881" t="str">
        <f>"670013309"</f>
        <v>670013309</v>
      </c>
    </row>
    <row r="2882" spans="1:21" x14ac:dyDescent="0.3">
      <c r="A2882" t="str">
        <f>"250006327"</f>
        <v>250006327</v>
      </c>
      <c r="B2882" t="str">
        <f>"821 184 165 00024"</f>
        <v>821 184 165 00024</v>
      </c>
      <c r="D2882" t="str">
        <f>"CENTRE SOINS INFIRMIERS HERIMONCOURT"</f>
        <v>CENTRE SOINS INFIRMIERS HERIMONCOURT</v>
      </c>
      <c r="F2882" t="str">
        <f>"10 RUE PIERRE PEUGEOT"</f>
        <v>10 RUE PIERRE PEUGEOT</v>
      </c>
      <c r="H2882" t="str">
        <f>"25310"</f>
        <v>25310</v>
      </c>
      <c r="I2882" t="str">
        <f>"HERIMONCOURT"</f>
        <v>HERIMONCOURT</v>
      </c>
      <c r="J2882" t="str">
        <f>"03 81 35 75 27 "</f>
        <v xml:space="preserve">03 81 35 75 27 </v>
      </c>
      <c r="L2882" s="1">
        <v>28449</v>
      </c>
      <c r="M2882" t="str">
        <f t="shared" ref="M2882:M2945" si="417">"124"</f>
        <v>124</v>
      </c>
      <c r="N2882" t="str">
        <f t="shared" ref="N2882:N2945" si="418">"Centre de Santé"</f>
        <v>Centre de Santé</v>
      </c>
      <c r="O2882" t="str">
        <f>"60"</f>
        <v>60</v>
      </c>
      <c r="P2882" t="str">
        <f>"Association Loi 1901 non Reconnue d'Utilité Publique"</f>
        <v>Association Loi 1901 non Reconnue d'Utilité Publique</v>
      </c>
      <c r="Q2882" t="str">
        <f t="shared" si="415"/>
        <v>36</v>
      </c>
      <c r="R2882" t="str">
        <f t="shared" si="416"/>
        <v>Tarifs conventionnels assurance maladie</v>
      </c>
      <c r="U2882" t="str">
        <f>"250021342"</f>
        <v>250021342</v>
      </c>
    </row>
    <row r="2883" spans="1:21" x14ac:dyDescent="0.3">
      <c r="A2883" t="str">
        <f>"850002445"</f>
        <v>850002445</v>
      </c>
      <c r="B2883" t="str">
        <f>"314 648 908 00023"</f>
        <v>314 648 908 00023</v>
      </c>
      <c r="D2883" t="str">
        <f>"CSI ST HILAIRE DES LOGES"</f>
        <v>CSI ST HILAIRE DES LOGES</v>
      </c>
      <c r="F2883" t="str">
        <f>"16 RUE LEON BIENVENU"</f>
        <v>16 RUE LEON BIENVENU</v>
      </c>
      <c r="H2883" t="str">
        <f>"85240"</f>
        <v>85240</v>
      </c>
      <c r="I2883" t="str">
        <f>"ST HILAIRE DES LOGES"</f>
        <v>ST HILAIRE DES LOGES</v>
      </c>
      <c r="J2883" t="str">
        <f>"02 51 52 10 96 "</f>
        <v xml:space="preserve">02 51 52 10 96 </v>
      </c>
      <c r="K2883" t="str">
        <f>"02 51 52 10 79"</f>
        <v>02 51 52 10 79</v>
      </c>
      <c r="L2883" s="1">
        <v>28438</v>
      </c>
      <c r="M2883" t="str">
        <f t="shared" si="417"/>
        <v>124</v>
      </c>
      <c r="N2883" t="str">
        <f t="shared" si="418"/>
        <v>Centre de Santé</v>
      </c>
      <c r="O2883" t="str">
        <f>"60"</f>
        <v>60</v>
      </c>
      <c r="P2883" t="str">
        <f>"Association Loi 1901 non Reconnue d'Utilité Publique"</f>
        <v>Association Loi 1901 non Reconnue d'Utilité Publique</v>
      </c>
      <c r="Q2883" t="str">
        <f t="shared" si="415"/>
        <v>36</v>
      </c>
      <c r="R2883" t="str">
        <f t="shared" si="416"/>
        <v>Tarifs conventionnels assurance maladie</v>
      </c>
      <c r="U2883" t="str">
        <f>"850013145"</f>
        <v>850013145</v>
      </c>
    </row>
    <row r="2884" spans="1:21" x14ac:dyDescent="0.3">
      <c r="A2884" t="str">
        <f>"440025773"</f>
        <v>440025773</v>
      </c>
      <c r="B2884" t="str">
        <f>"311 666 986 00014"</f>
        <v>311 666 986 00014</v>
      </c>
      <c r="D2884" t="str">
        <f>"CSI SANTE A DOMICILE"</f>
        <v>CSI SANTE A DOMICILE</v>
      </c>
      <c r="F2884" t="str">
        <f>"BOULEVARD DU CALVAIRE"</f>
        <v>BOULEVARD DU CALVAIRE</v>
      </c>
      <c r="H2884" t="str">
        <f>"44270"</f>
        <v>44270</v>
      </c>
      <c r="I2884" t="str">
        <f>"MACHECOUL ST MEME"</f>
        <v>MACHECOUL ST MEME</v>
      </c>
      <c r="J2884" t="str">
        <f>"02 40 78 50 08 "</f>
        <v xml:space="preserve">02 40 78 50 08 </v>
      </c>
      <c r="K2884" t="str">
        <f>"02 40 02 36 30"</f>
        <v>02 40 02 36 30</v>
      </c>
      <c r="L2884" s="1">
        <v>28430</v>
      </c>
      <c r="M2884" t="str">
        <f t="shared" si="417"/>
        <v>124</v>
      </c>
      <c r="N2884" t="str">
        <f t="shared" si="418"/>
        <v>Centre de Santé</v>
      </c>
      <c r="O2884" t="str">
        <f>"61"</f>
        <v>61</v>
      </c>
      <c r="P2884" t="str">
        <f>"Association Loi 1901 Reconnue d'Utilité Publique"</f>
        <v>Association Loi 1901 Reconnue d'Utilité Publique</v>
      </c>
      <c r="Q2884" t="str">
        <f t="shared" si="415"/>
        <v>36</v>
      </c>
      <c r="R2884" t="str">
        <f t="shared" si="416"/>
        <v>Tarifs conventionnels assurance maladie</v>
      </c>
      <c r="U2884" t="str">
        <f>"440011773"</f>
        <v>440011773</v>
      </c>
    </row>
    <row r="2885" spans="1:21" x14ac:dyDescent="0.3">
      <c r="A2885" t="str">
        <f>"310788583"</f>
        <v>310788583</v>
      </c>
      <c r="B2885" t="str">
        <f>"263 101 230 00278"</f>
        <v>263 101 230 00278</v>
      </c>
      <c r="D2885" t="str">
        <f>"CENTRE DE SANTE MEDICAL"</f>
        <v>CENTRE DE SANTE MEDICAL</v>
      </c>
      <c r="F2885" t="str">
        <f>"2 RUE DE BELFORT"</f>
        <v>2 RUE DE BELFORT</v>
      </c>
      <c r="G2885" t="str">
        <f>"BP 197"</f>
        <v>BP 197</v>
      </c>
      <c r="H2885" t="str">
        <f>"31004"</f>
        <v>31004</v>
      </c>
      <c r="I2885" t="str">
        <f>"TOULOUSE CEDEX 6"</f>
        <v>TOULOUSE CEDEX 6</v>
      </c>
      <c r="J2885" t="str">
        <f>"05 61 58 85 40 "</f>
        <v xml:space="preserve">05 61 58 85 40 </v>
      </c>
      <c r="K2885" t="str">
        <f>"05 61 58 85 98"</f>
        <v>05 61 58 85 98</v>
      </c>
      <c r="L2885" s="1">
        <v>28399</v>
      </c>
      <c r="M2885" t="str">
        <f t="shared" si="417"/>
        <v>124</v>
      </c>
      <c r="N2885" t="str">
        <f t="shared" si="418"/>
        <v>Centre de Santé</v>
      </c>
      <c r="O2885" t="str">
        <f>"17"</f>
        <v>17</v>
      </c>
      <c r="P2885" t="str">
        <f>"Centre Communal d'Action Sociale"</f>
        <v>Centre Communal d'Action Sociale</v>
      </c>
      <c r="Q2885" t="str">
        <f t="shared" si="415"/>
        <v>36</v>
      </c>
      <c r="R2885" t="str">
        <f t="shared" si="416"/>
        <v>Tarifs conventionnels assurance maladie</v>
      </c>
      <c r="U2885" t="str">
        <f>"310783022"</f>
        <v>310783022</v>
      </c>
    </row>
    <row r="2886" spans="1:21" x14ac:dyDescent="0.3">
      <c r="A2886" t="str">
        <f>"350005096"</f>
        <v>350005096</v>
      </c>
      <c r="B2886" t="str">
        <f>"324 611 839 00022"</f>
        <v>324 611 839 00022</v>
      </c>
      <c r="D2886" t="str">
        <f>"CDS INFIRMIERS CHARTRES DE BGNE"</f>
        <v>CDS INFIRMIERS CHARTRES DE BGNE</v>
      </c>
      <c r="F2886" t="str">
        <f>"ESPACE BROCELIANDE"</f>
        <v>ESPACE BROCELIANDE</v>
      </c>
      <c r="G2886" t="str">
        <f>"BP 97610"</f>
        <v>BP 97610</v>
      </c>
      <c r="H2886" t="str">
        <f>"35176"</f>
        <v>35176</v>
      </c>
      <c r="I2886" t="str">
        <f>"CHARTRES DE BRETAGNE CEDEX"</f>
        <v>CHARTRES DE BRETAGNE CEDEX</v>
      </c>
      <c r="J2886" t="str">
        <f>"02 99 77 12 74 "</f>
        <v xml:space="preserve">02 99 77 12 74 </v>
      </c>
      <c r="K2886" t="str">
        <f>"02 99 77 12 78"</f>
        <v>02 99 77 12 78</v>
      </c>
      <c r="L2886" s="1">
        <v>28399</v>
      </c>
      <c r="M2886" t="str">
        <f t="shared" si="417"/>
        <v>124</v>
      </c>
      <c r="N2886" t="str">
        <f t="shared" si="418"/>
        <v>Centre de Santé</v>
      </c>
      <c r="O2886" t="str">
        <f>"60"</f>
        <v>60</v>
      </c>
      <c r="P2886" t="str">
        <f>"Association Loi 1901 non Reconnue d'Utilité Publique"</f>
        <v>Association Loi 1901 non Reconnue d'Utilité Publique</v>
      </c>
      <c r="Q2886" t="str">
        <f t="shared" si="415"/>
        <v>36</v>
      </c>
      <c r="R2886" t="str">
        <f t="shared" si="416"/>
        <v>Tarifs conventionnels assurance maladie</v>
      </c>
      <c r="U2886" t="str">
        <f>"350012829"</f>
        <v>350012829</v>
      </c>
    </row>
    <row r="2887" spans="1:21" x14ac:dyDescent="0.3">
      <c r="A2887" t="str">
        <f>"440025732"</f>
        <v>440025732</v>
      </c>
      <c r="B2887" t="str">
        <f>"316 571 678 00051"</f>
        <v>316 571 678 00051</v>
      </c>
      <c r="D2887" t="str">
        <f>"CENTRE DE SOINS DE NORT SUR ERDRE"</f>
        <v>CENTRE DE SOINS DE NORT SUR ERDRE</v>
      </c>
      <c r="F2887" t="str">
        <f>"14 PLACE DU CHAMP DE FOIRE"</f>
        <v>14 PLACE DU CHAMP DE FOIRE</v>
      </c>
      <c r="H2887" t="str">
        <f>"44390"</f>
        <v>44390</v>
      </c>
      <c r="I2887" t="str">
        <f>"NORT SUR ERDRE"</f>
        <v>NORT SUR ERDRE</v>
      </c>
      <c r="J2887" t="str">
        <f>"02 40 72 11 67 "</f>
        <v xml:space="preserve">02 40 72 11 67 </v>
      </c>
      <c r="L2887" s="1">
        <v>28399</v>
      </c>
      <c r="M2887" t="str">
        <f t="shared" si="417"/>
        <v>124</v>
      </c>
      <c r="N2887" t="str">
        <f t="shared" si="418"/>
        <v>Centre de Santé</v>
      </c>
      <c r="O2887" t="str">
        <f>"60"</f>
        <v>60</v>
      </c>
      <c r="P2887" t="str">
        <f>"Association Loi 1901 non Reconnue d'Utilité Publique"</f>
        <v>Association Loi 1901 non Reconnue d'Utilité Publique</v>
      </c>
      <c r="Q2887" t="str">
        <f t="shared" si="415"/>
        <v>36</v>
      </c>
      <c r="R2887" t="str">
        <f t="shared" si="416"/>
        <v>Tarifs conventionnels assurance maladie</v>
      </c>
      <c r="U2887" t="str">
        <f>"440010148"</f>
        <v>440010148</v>
      </c>
    </row>
    <row r="2888" spans="1:21" x14ac:dyDescent="0.3">
      <c r="A2888" t="str">
        <f>"670783208"</f>
        <v>670783208</v>
      </c>
      <c r="B2888" t="str">
        <f>"311 209 811 00018"</f>
        <v>311 209 811 00018</v>
      </c>
      <c r="D2888" t="str">
        <f>"CENTRE SOINS INF. SELESTAT"</f>
        <v>CENTRE SOINS INF. SELESTAT</v>
      </c>
      <c r="F2888" t="str">
        <f>"7 PLACE DU MARCHÉ AUX CHOUX"</f>
        <v>7 PLACE DU MARCHÉ AUX CHOUX</v>
      </c>
      <c r="H2888" t="str">
        <f>"67600"</f>
        <v>67600</v>
      </c>
      <c r="I2888" t="str">
        <f>"SELESTAT"</f>
        <v>SELESTAT</v>
      </c>
      <c r="J2888" t="str">
        <f>"03 88 92 10 10 "</f>
        <v xml:space="preserve">03 88 92 10 10 </v>
      </c>
      <c r="K2888" t="str">
        <f>"03 88 08 67 10"</f>
        <v>03 88 08 67 10</v>
      </c>
      <c r="L2888" s="1">
        <v>28399</v>
      </c>
      <c r="M2888" t="str">
        <f t="shared" si="417"/>
        <v>124</v>
      </c>
      <c r="N2888" t="str">
        <f t="shared" si="418"/>
        <v>Centre de Santé</v>
      </c>
      <c r="O2888" t="str">
        <f>"62"</f>
        <v>62</v>
      </c>
      <c r="P2888" t="str">
        <f>"Association de Droit Local"</f>
        <v>Association de Droit Local</v>
      </c>
      <c r="Q2888" t="str">
        <f t="shared" si="415"/>
        <v>36</v>
      </c>
      <c r="R2888" t="str">
        <f t="shared" si="416"/>
        <v>Tarifs conventionnels assurance maladie</v>
      </c>
      <c r="U2888" t="str">
        <f>"670000819"</f>
        <v>670000819</v>
      </c>
    </row>
    <row r="2889" spans="1:21" x14ac:dyDescent="0.3">
      <c r="A2889" t="str">
        <f>"440025583"</f>
        <v>440025583</v>
      </c>
      <c r="B2889" t="str">
        <f>"312 695 059 00054"</f>
        <v>312 695 059 00054</v>
      </c>
      <c r="D2889" t="str">
        <f>"CENTRE SOINS INFIRMIERS AIGREFEUILLE"</f>
        <v>CENTRE SOINS INFIRMIERS AIGREFEUILLE</v>
      </c>
      <c r="F2889" t="str">
        <f>"4 RUE DE LA FILEE"</f>
        <v>4 RUE DE LA FILEE</v>
      </c>
      <c r="H2889" t="str">
        <f>"44140"</f>
        <v>44140</v>
      </c>
      <c r="I2889" t="str">
        <f>"AIGREFEUILLE SUR MAINE"</f>
        <v>AIGREFEUILLE SUR MAINE</v>
      </c>
      <c r="J2889" t="str">
        <f>"02 40 03 80 74 "</f>
        <v xml:space="preserve">02 40 03 80 74 </v>
      </c>
      <c r="K2889" t="str">
        <f>"02 40 03 81 81"</f>
        <v>02 40 03 81 81</v>
      </c>
      <c r="L2889" s="1">
        <v>28389</v>
      </c>
      <c r="M2889" t="str">
        <f t="shared" si="417"/>
        <v>124</v>
      </c>
      <c r="N2889" t="str">
        <f t="shared" si="418"/>
        <v>Centre de Santé</v>
      </c>
      <c r="O2889" t="str">
        <f>"60"</f>
        <v>60</v>
      </c>
      <c r="P2889" t="str">
        <f>"Association Loi 1901 non Reconnue d'Utilité Publique"</f>
        <v>Association Loi 1901 non Reconnue d'Utilité Publique</v>
      </c>
      <c r="Q2889" t="str">
        <f t="shared" si="415"/>
        <v>36</v>
      </c>
      <c r="R2889" t="str">
        <f t="shared" si="416"/>
        <v>Tarifs conventionnels assurance maladie</v>
      </c>
      <c r="U2889" t="str">
        <f>"440011757"</f>
        <v>440011757</v>
      </c>
    </row>
    <row r="2890" spans="1:21" x14ac:dyDescent="0.3">
      <c r="A2890" t="str">
        <f>"490528429"</f>
        <v>490528429</v>
      </c>
      <c r="B2890" t="str">
        <f>"311 865 794 00060"</f>
        <v>311 865 794 00060</v>
      </c>
      <c r="D2890" t="str">
        <f>"CSI SAINT MACAIRE EN MAUGES"</f>
        <v>CSI SAINT MACAIRE EN MAUGES</v>
      </c>
      <c r="F2890" t="str">
        <f>"82 RUE DE BRETAGNE"</f>
        <v>82 RUE DE BRETAGNE</v>
      </c>
      <c r="G2890" t="str">
        <f>"ST MACAIRE EN MAUGES"</f>
        <v>ST MACAIRE EN MAUGES</v>
      </c>
      <c r="H2890" t="str">
        <f>"49450"</f>
        <v>49450</v>
      </c>
      <c r="I2890" t="str">
        <f>"SEVREMOINE"</f>
        <v>SEVREMOINE</v>
      </c>
      <c r="J2890" t="str">
        <f>"02 41 55 33 22 "</f>
        <v xml:space="preserve">02 41 55 33 22 </v>
      </c>
      <c r="L2890" s="1">
        <v>28382</v>
      </c>
      <c r="M2890" t="str">
        <f t="shared" si="417"/>
        <v>124</v>
      </c>
      <c r="N2890" t="str">
        <f t="shared" si="418"/>
        <v>Centre de Santé</v>
      </c>
      <c r="O2890" t="str">
        <f>"60"</f>
        <v>60</v>
      </c>
      <c r="P2890" t="str">
        <f>"Association Loi 1901 non Reconnue d'Utilité Publique"</f>
        <v>Association Loi 1901 non Reconnue d'Utilité Publique</v>
      </c>
      <c r="Q2890" t="str">
        <f t="shared" si="415"/>
        <v>36</v>
      </c>
      <c r="R2890" t="str">
        <f t="shared" si="416"/>
        <v>Tarifs conventionnels assurance maladie</v>
      </c>
      <c r="U2890" t="str">
        <f>"490001757"</f>
        <v>490001757</v>
      </c>
    </row>
    <row r="2891" spans="1:21" x14ac:dyDescent="0.3">
      <c r="A2891" t="str">
        <f>"670781806"</f>
        <v>670781806</v>
      </c>
      <c r="B2891" t="str">
        <f>"775 672 272 23332"</f>
        <v>775 672 272 23332</v>
      </c>
      <c r="D2891" t="str">
        <f>"CSI CRF DE DRULINGEN"</f>
        <v>CSI CRF DE DRULINGEN</v>
      </c>
      <c r="F2891" t="str">
        <f>"2 ALLEE DES HETRES"</f>
        <v>2 ALLEE DES HETRES</v>
      </c>
      <c r="H2891" t="str">
        <f>"67320"</f>
        <v>67320</v>
      </c>
      <c r="I2891" t="str">
        <f>"DRULINGEN"</f>
        <v>DRULINGEN</v>
      </c>
      <c r="J2891" t="str">
        <f>"03 88 00 61 03 "</f>
        <v xml:space="preserve">03 88 00 61 03 </v>
      </c>
      <c r="K2891" t="str">
        <f>"03 88 00 64 93"</f>
        <v>03 88 00 64 93</v>
      </c>
      <c r="L2891" s="1">
        <v>28366</v>
      </c>
      <c r="M2891" t="str">
        <f t="shared" si="417"/>
        <v>124</v>
      </c>
      <c r="N2891" t="str">
        <f t="shared" si="418"/>
        <v>Centre de Santé</v>
      </c>
      <c r="O2891" t="str">
        <f>"61"</f>
        <v>61</v>
      </c>
      <c r="P2891" t="str">
        <f>"Association Loi 1901 Reconnue d'Utilité Publique"</f>
        <v>Association Loi 1901 Reconnue d'Utilité Publique</v>
      </c>
      <c r="Q2891" t="str">
        <f t="shared" si="415"/>
        <v>36</v>
      </c>
      <c r="R2891" t="str">
        <f t="shared" si="416"/>
        <v>Tarifs conventionnels assurance maladie</v>
      </c>
      <c r="U2891" t="str">
        <f>"750721334"</f>
        <v>750721334</v>
      </c>
    </row>
    <row r="2892" spans="1:21" x14ac:dyDescent="0.3">
      <c r="A2892" t="str">
        <f>"500002498"</f>
        <v>500002498</v>
      </c>
      <c r="B2892" t="str">
        <f>"321 089 476 00030"</f>
        <v>321 089 476 00030</v>
      </c>
      <c r="D2892" t="str">
        <f>"CENTRE DE SOINS INFIRMIERS - CHERBOURG"</f>
        <v>CENTRE DE SOINS INFIRMIERS - CHERBOURG</v>
      </c>
      <c r="F2892" t="str">
        <f>"31 PLACE LOUIS DARINOT"</f>
        <v>31 PLACE LOUIS DARINOT</v>
      </c>
      <c r="H2892" t="str">
        <f>"50100"</f>
        <v>50100</v>
      </c>
      <c r="I2892" t="str">
        <f>"CHERBOURG EN COTENTIN"</f>
        <v>CHERBOURG EN COTENTIN</v>
      </c>
      <c r="J2892" t="str">
        <f>"02 33 53 69 57 "</f>
        <v xml:space="preserve">02 33 53 69 57 </v>
      </c>
      <c r="K2892" t="str">
        <f>"02 33 53 76 01"</f>
        <v>02 33 53 76 01</v>
      </c>
      <c r="L2892" s="1">
        <v>28307</v>
      </c>
      <c r="M2892" t="str">
        <f t="shared" si="417"/>
        <v>124</v>
      </c>
      <c r="N2892" t="str">
        <f t="shared" si="418"/>
        <v>Centre de Santé</v>
      </c>
      <c r="O2892" t="str">
        <f t="shared" ref="O2892:O2901" si="419">"60"</f>
        <v>60</v>
      </c>
      <c r="P2892" t="str">
        <f t="shared" ref="P2892:P2901" si="420">"Association Loi 1901 non Reconnue d'Utilité Publique"</f>
        <v>Association Loi 1901 non Reconnue d'Utilité Publique</v>
      </c>
      <c r="Q2892" t="str">
        <f t="shared" si="415"/>
        <v>36</v>
      </c>
      <c r="R2892" t="str">
        <f t="shared" si="416"/>
        <v>Tarifs conventionnels assurance maladie</v>
      </c>
      <c r="U2892" t="str">
        <f>"500010400"</f>
        <v>500010400</v>
      </c>
    </row>
    <row r="2893" spans="1:21" x14ac:dyDescent="0.3">
      <c r="A2893" t="str">
        <f>"440005874"</f>
        <v>440005874</v>
      </c>
      <c r="B2893" t="str">
        <f>"308 973 635 00086"</f>
        <v>308 973 635 00086</v>
      </c>
      <c r="D2893" t="str">
        <f>"CSI DOULON"</f>
        <v>CSI DOULON</v>
      </c>
      <c r="F2893" t="str">
        <f>"32 BOULEVARD AUGUSTE PENEAU"</f>
        <v>32 BOULEVARD AUGUSTE PENEAU</v>
      </c>
      <c r="H2893" t="str">
        <f>"44300"</f>
        <v>44300</v>
      </c>
      <c r="I2893" t="str">
        <f>"NANTES"</f>
        <v>NANTES</v>
      </c>
      <c r="J2893" t="str">
        <f>"02 40 49 45 29 "</f>
        <v xml:space="preserve">02 40 49 45 29 </v>
      </c>
      <c r="L2893" s="1">
        <v>28277</v>
      </c>
      <c r="M2893" t="str">
        <f t="shared" si="417"/>
        <v>124</v>
      </c>
      <c r="N2893" t="str">
        <f t="shared" si="418"/>
        <v>Centre de Santé</v>
      </c>
      <c r="O2893" t="str">
        <f t="shared" si="419"/>
        <v>60</v>
      </c>
      <c r="P2893" t="str">
        <f t="shared" si="420"/>
        <v>Association Loi 1901 non Reconnue d'Utilité Publique</v>
      </c>
      <c r="Q2893" t="str">
        <f t="shared" si="415"/>
        <v>36</v>
      </c>
      <c r="R2893" t="str">
        <f t="shared" si="416"/>
        <v>Tarifs conventionnels assurance maladie</v>
      </c>
      <c r="U2893" t="str">
        <f t="shared" ref="U2893:U2898" si="421">"440005841"</f>
        <v>440005841</v>
      </c>
    </row>
    <row r="2894" spans="1:21" x14ac:dyDescent="0.3">
      <c r="A2894" t="str">
        <f>"440025724"</f>
        <v>440025724</v>
      </c>
      <c r="B2894" t="str">
        <f>"308 973 635 00037"</f>
        <v>308 973 635 00037</v>
      </c>
      <c r="D2894" t="str">
        <f>"CSI CENTRE VILLE"</f>
        <v>CSI CENTRE VILLE</v>
      </c>
      <c r="F2894" t="str">
        <f>"33 RUE FOURE"</f>
        <v>33 RUE FOURE</v>
      </c>
      <c r="H2894" t="str">
        <f>"44000"</f>
        <v>44000</v>
      </c>
      <c r="I2894" t="str">
        <f>"NANTES"</f>
        <v>NANTES</v>
      </c>
      <c r="J2894" t="str">
        <f>"02 40 20 08 52 "</f>
        <v xml:space="preserve">02 40 20 08 52 </v>
      </c>
      <c r="L2894" s="1">
        <v>28277</v>
      </c>
      <c r="M2894" t="str">
        <f t="shared" si="417"/>
        <v>124</v>
      </c>
      <c r="N2894" t="str">
        <f t="shared" si="418"/>
        <v>Centre de Santé</v>
      </c>
      <c r="O2894" t="str">
        <f t="shared" si="419"/>
        <v>60</v>
      </c>
      <c r="P2894" t="str">
        <f t="shared" si="420"/>
        <v>Association Loi 1901 non Reconnue d'Utilité Publique</v>
      </c>
      <c r="Q2894" t="str">
        <f t="shared" si="415"/>
        <v>36</v>
      </c>
      <c r="R2894" t="str">
        <f t="shared" si="416"/>
        <v>Tarifs conventionnels assurance maladie</v>
      </c>
      <c r="U2894" t="str">
        <f t="shared" si="421"/>
        <v>440005841</v>
      </c>
    </row>
    <row r="2895" spans="1:21" x14ac:dyDescent="0.3">
      <c r="A2895" t="str">
        <f>"440051167"</f>
        <v>440051167</v>
      </c>
      <c r="B2895" t="str">
        <f>"308 973 635 00045"</f>
        <v>308 973 635 00045</v>
      </c>
      <c r="D2895" t="str">
        <f>"CSI NANTES CHAMP DE TIR"</f>
        <v>CSI NANTES CHAMP DE TIR</v>
      </c>
      <c r="F2895" t="str">
        <f>"16 RUE DU CHAMP DE TIR"</f>
        <v>16 RUE DU CHAMP DE TIR</v>
      </c>
      <c r="H2895" t="str">
        <f>"44300"</f>
        <v>44300</v>
      </c>
      <c r="I2895" t="str">
        <f>"NANTES"</f>
        <v>NANTES</v>
      </c>
      <c r="J2895" t="str">
        <f>"02 40 49 97 04 "</f>
        <v xml:space="preserve">02 40 49 97 04 </v>
      </c>
      <c r="L2895" s="1">
        <v>28277</v>
      </c>
      <c r="M2895" t="str">
        <f t="shared" si="417"/>
        <v>124</v>
      </c>
      <c r="N2895" t="str">
        <f t="shared" si="418"/>
        <v>Centre de Santé</v>
      </c>
      <c r="O2895" t="str">
        <f t="shared" si="419"/>
        <v>60</v>
      </c>
      <c r="P2895" t="str">
        <f t="shared" si="420"/>
        <v>Association Loi 1901 non Reconnue d'Utilité Publique</v>
      </c>
      <c r="Q2895" t="str">
        <f t="shared" si="415"/>
        <v>36</v>
      </c>
      <c r="R2895" t="str">
        <f t="shared" si="416"/>
        <v>Tarifs conventionnels assurance maladie</v>
      </c>
      <c r="U2895" t="str">
        <f t="shared" si="421"/>
        <v>440005841</v>
      </c>
    </row>
    <row r="2896" spans="1:21" x14ac:dyDescent="0.3">
      <c r="A2896" t="str">
        <f>"440051175"</f>
        <v>440051175</v>
      </c>
      <c r="B2896" t="str">
        <f>"308 973 635 00177"</f>
        <v>308 973 635 00177</v>
      </c>
      <c r="D2896" t="str">
        <f>"CSI ORVAULT"</f>
        <v>CSI ORVAULT</v>
      </c>
      <c r="F2896" t="str">
        <f>"5 RUE ROBERT LE RICOLAIS"</f>
        <v>5 RUE ROBERT LE RICOLAIS</v>
      </c>
      <c r="H2896" t="str">
        <f>"44700"</f>
        <v>44700</v>
      </c>
      <c r="I2896" t="str">
        <f>"ORVAULT"</f>
        <v>ORVAULT</v>
      </c>
      <c r="J2896" t="str">
        <f>"02 40 63 11 00 "</f>
        <v xml:space="preserve">02 40 63 11 00 </v>
      </c>
      <c r="L2896" s="1">
        <v>28277</v>
      </c>
      <c r="M2896" t="str">
        <f t="shared" si="417"/>
        <v>124</v>
      </c>
      <c r="N2896" t="str">
        <f t="shared" si="418"/>
        <v>Centre de Santé</v>
      </c>
      <c r="O2896" t="str">
        <f t="shared" si="419"/>
        <v>60</v>
      </c>
      <c r="P2896" t="str">
        <f t="shared" si="420"/>
        <v>Association Loi 1901 non Reconnue d'Utilité Publique</v>
      </c>
      <c r="Q2896" t="str">
        <f t="shared" si="415"/>
        <v>36</v>
      </c>
      <c r="R2896" t="str">
        <f t="shared" si="416"/>
        <v>Tarifs conventionnels assurance maladie</v>
      </c>
      <c r="U2896" t="str">
        <f t="shared" si="421"/>
        <v>440005841</v>
      </c>
    </row>
    <row r="2897" spans="1:21" x14ac:dyDescent="0.3">
      <c r="A2897" t="str">
        <f>"440051183"</f>
        <v>440051183</v>
      </c>
      <c r="B2897" t="str">
        <f>"308 973 635 00169"</f>
        <v>308 973 635 00169</v>
      </c>
      <c r="D2897" t="str">
        <f>"CENTRE DE SANTE DU SILLON"</f>
        <v>CENTRE DE SANTE DU SILLON</v>
      </c>
      <c r="F2897" t="str">
        <f>"9 RUE BIS RUE DE L'ANGEVINIERE"</f>
        <v>9 RUE BIS RUE DE L'ANGEVINIERE</v>
      </c>
      <c r="H2897" t="str">
        <f>"44800"</f>
        <v>44800</v>
      </c>
      <c r="I2897" t="str">
        <f>"ST HERBLAIN"</f>
        <v>ST HERBLAIN</v>
      </c>
      <c r="J2897" t="str">
        <f>"02 40 63 04 22 "</f>
        <v xml:space="preserve">02 40 63 04 22 </v>
      </c>
      <c r="L2897" s="1">
        <v>28277</v>
      </c>
      <c r="M2897" t="str">
        <f t="shared" si="417"/>
        <v>124</v>
      </c>
      <c r="N2897" t="str">
        <f t="shared" si="418"/>
        <v>Centre de Santé</v>
      </c>
      <c r="O2897" t="str">
        <f t="shared" si="419"/>
        <v>60</v>
      </c>
      <c r="P2897" t="str">
        <f t="shared" si="420"/>
        <v>Association Loi 1901 non Reconnue d'Utilité Publique</v>
      </c>
      <c r="Q2897" t="str">
        <f t="shared" si="415"/>
        <v>36</v>
      </c>
      <c r="R2897" t="str">
        <f t="shared" si="416"/>
        <v>Tarifs conventionnels assurance maladie</v>
      </c>
      <c r="U2897" t="str">
        <f t="shared" si="421"/>
        <v>440005841</v>
      </c>
    </row>
    <row r="2898" spans="1:21" x14ac:dyDescent="0.3">
      <c r="A2898" t="str">
        <f>"440051191"</f>
        <v>440051191</v>
      </c>
      <c r="B2898" t="str">
        <f>"308 973 635 00185"</f>
        <v>308 973 635 00185</v>
      </c>
      <c r="D2898" t="str">
        <f>"CSI NANTES CONSTITUTION"</f>
        <v>CSI NANTES CONSTITUTION</v>
      </c>
      <c r="F2898" t="str">
        <f>"8 RUE DE LA CONSTITUTION"</f>
        <v>8 RUE DE LA CONSTITUTION</v>
      </c>
      <c r="H2898" t="str">
        <f>"44100"</f>
        <v>44100</v>
      </c>
      <c r="I2898" t="str">
        <f>"NANTES"</f>
        <v>NANTES</v>
      </c>
      <c r="J2898" t="str">
        <f>"02 40 95 10 87 "</f>
        <v xml:space="preserve">02 40 95 10 87 </v>
      </c>
      <c r="L2898" s="1">
        <v>28277</v>
      </c>
      <c r="M2898" t="str">
        <f t="shared" si="417"/>
        <v>124</v>
      </c>
      <c r="N2898" t="str">
        <f t="shared" si="418"/>
        <v>Centre de Santé</v>
      </c>
      <c r="O2898" t="str">
        <f t="shared" si="419"/>
        <v>60</v>
      </c>
      <c r="P2898" t="str">
        <f t="shared" si="420"/>
        <v>Association Loi 1901 non Reconnue d'Utilité Publique</v>
      </c>
      <c r="Q2898" t="str">
        <f t="shared" si="415"/>
        <v>36</v>
      </c>
      <c r="R2898" t="str">
        <f t="shared" si="416"/>
        <v>Tarifs conventionnels assurance maladie</v>
      </c>
      <c r="U2898" t="str">
        <f t="shared" si="421"/>
        <v>440005841</v>
      </c>
    </row>
    <row r="2899" spans="1:21" x14ac:dyDescent="0.3">
      <c r="A2899" t="str">
        <f>"560004079"</f>
        <v>560004079</v>
      </c>
      <c r="B2899" t="str">
        <f>"314 972 639 00038"</f>
        <v>314 972 639 00038</v>
      </c>
      <c r="D2899" t="str">
        <f>"CDS INFIRMIER DE MALANSAC"</f>
        <v>CDS INFIRMIER DE MALANSAC</v>
      </c>
      <c r="F2899" t="str">
        <f>"27 RUE DU STADE"</f>
        <v>27 RUE DU STADE</v>
      </c>
      <c r="H2899" t="str">
        <f>"56220"</f>
        <v>56220</v>
      </c>
      <c r="I2899" t="str">
        <f>"MALANSAC"</f>
        <v>MALANSAC</v>
      </c>
      <c r="J2899" t="str">
        <f>"02 97 66 25 57 "</f>
        <v xml:space="preserve">02 97 66 25 57 </v>
      </c>
      <c r="L2899" s="1">
        <v>28263</v>
      </c>
      <c r="M2899" t="str">
        <f t="shared" si="417"/>
        <v>124</v>
      </c>
      <c r="N2899" t="str">
        <f t="shared" si="418"/>
        <v>Centre de Santé</v>
      </c>
      <c r="O2899" t="str">
        <f t="shared" si="419"/>
        <v>60</v>
      </c>
      <c r="P2899" t="str">
        <f t="shared" si="420"/>
        <v>Association Loi 1901 non Reconnue d'Utilité Publique</v>
      </c>
      <c r="Q2899" t="str">
        <f t="shared" si="415"/>
        <v>36</v>
      </c>
      <c r="R2899" t="str">
        <f t="shared" si="416"/>
        <v>Tarifs conventionnels assurance maladie</v>
      </c>
      <c r="U2899" t="str">
        <f>"560001430"</f>
        <v>560001430</v>
      </c>
    </row>
    <row r="2900" spans="1:21" x14ac:dyDescent="0.3">
      <c r="A2900" t="str">
        <f>"120783089"</f>
        <v>120783089</v>
      </c>
      <c r="B2900" t="str">
        <f>"310 129 788 00058"</f>
        <v>310 129 788 00058</v>
      </c>
      <c r="D2900" t="str">
        <f>"CENTRE DE SOINS INFIRMIERS"</f>
        <v>CENTRE DE SOINS INFIRMIERS</v>
      </c>
      <c r="E2900" t="str">
        <f>"MSP - LA LANDE"</f>
        <v>MSP - LA LANDE</v>
      </c>
      <c r="F2900" t="str">
        <f>"ROUTE DE RODEZ"</f>
        <v>ROUTE DE RODEZ</v>
      </c>
      <c r="H2900" t="str">
        <f>"12290"</f>
        <v>12290</v>
      </c>
      <c r="I2900" t="str">
        <f>"PONT DE SALARS"</f>
        <v>PONT DE SALARS</v>
      </c>
      <c r="J2900" t="str">
        <f>"05 65 46 83 44 "</f>
        <v xml:space="preserve">05 65 46 83 44 </v>
      </c>
      <c r="L2900" s="1">
        <v>28246</v>
      </c>
      <c r="M2900" t="str">
        <f t="shared" si="417"/>
        <v>124</v>
      </c>
      <c r="N2900" t="str">
        <f t="shared" si="418"/>
        <v>Centre de Santé</v>
      </c>
      <c r="O2900" t="str">
        <f t="shared" si="419"/>
        <v>60</v>
      </c>
      <c r="P2900" t="str">
        <f t="shared" si="420"/>
        <v>Association Loi 1901 non Reconnue d'Utilité Publique</v>
      </c>
      <c r="Q2900" t="str">
        <f t="shared" si="415"/>
        <v>36</v>
      </c>
      <c r="R2900" t="str">
        <f t="shared" si="416"/>
        <v>Tarifs conventionnels assurance maladie</v>
      </c>
      <c r="U2900" t="str">
        <f>"120785027"</f>
        <v>120785027</v>
      </c>
    </row>
    <row r="2901" spans="1:21" x14ac:dyDescent="0.3">
      <c r="A2901" t="str">
        <f>"800000499"</f>
        <v>800000499</v>
      </c>
      <c r="B2901" t="str">
        <f>"322 778 267 00029"</f>
        <v>322 778 267 00029</v>
      </c>
      <c r="D2901" t="str">
        <f>"CS SAINT LANDON MOLLIENS-DREUIL"</f>
        <v>CS SAINT LANDON MOLLIENS-DREUIL</v>
      </c>
      <c r="F2901" t="str">
        <f>"4 RUE DES DRAGONNESSES"</f>
        <v>4 RUE DES DRAGONNESSES</v>
      </c>
      <c r="H2901" t="str">
        <f>"80540"</f>
        <v>80540</v>
      </c>
      <c r="I2901" t="str">
        <f>"MOLLIENS DREUIL"</f>
        <v>MOLLIENS DREUIL</v>
      </c>
      <c r="J2901" t="str">
        <f>"03 22 90 34 10 "</f>
        <v xml:space="preserve">03 22 90 34 10 </v>
      </c>
      <c r="K2901" t="str">
        <f>"03 22 90 10 56"</f>
        <v>03 22 90 10 56</v>
      </c>
      <c r="L2901" s="1">
        <v>28237</v>
      </c>
      <c r="M2901" t="str">
        <f t="shared" si="417"/>
        <v>124</v>
      </c>
      <c r="N2901" t="str">
        <f t="shared" si="418"/>
        <v>Centre de Santé</v>
      </c>
      <c r="O2901" t="str">
        <f t="shared" si="419"/>
        <v>60</v>
      </c>
      <c r="P2901" t="str">
        <f t="shared" si="420"/>
        <v>Association Loi 1901 non Reconnue d'Utilité Publique</v>
      </c>
      <c r="Q2901" t="str">
        <f t="shared" si="415"/>
        <v>36</v>
      </c>
      <c r="R2901" t="str">
        <f t="shared" si="416"/>
        <v>Tarifs conventionnels assurance maladie</v>
      </c>
      <c r="U2901" t="str">
        <f>"800002826"</f>
        <v>800002826</v>
      </c>
    </row>
    <row r="2902" spans="1:21" x14ac:dyDescent="0.3">
      <c r="A2902" t="str">
        <f>"080002108"</f>
        <v>080002108</v>
      </c>
      <c r="B2902" t="str">
        <f>"780 349 833 00217"</f>
        <v>780 349 833 00217</v>
      </c>
      <c r="D2902" t="str">
        <f>"CENTRE DE SANTE DENTAIRE"</f>
        <v>CENTRE DE SANTE DENTAIRE</v>
      </c>
      <c r="F2902" t="str">
        <f>"3 RUE COUVELET"</f>
        <v>3 RUE COUVELET</v>
      </c>
      <c r="H2902" t="str">
        <f>"08000"</f>
        <v>08000</v>
      </c>
      <c r="I2902" t="str">
        <f>"CHARLEVILLE MEZIERES"</f>
        <v>CHARLEVILLE MEZIERES</v>
      </c>
      <c r="J2902" t="str">
        <f>"03 24 33 01 98 "</f>
        <v xml:space="preserve">03 24 33 01 98 </v>
      </c>
      <c r="L2902" s="1">
        <v>28216</v>
      </c>
      <c r="M2902" t="str">
        <f t="shared" si="417"/>
        <v>124</v>
      </c>
      <c r="N2902" t="str">
        <f t="shared" si="418"/>
        <v>Centre de Santé</v>
      </c>
      <c r="O2902" t="str">
        <f>"47"</f>
        <v>47</v>
      </c>
      <c r="P2902" t="str">
        <f>"Société Mutualiste"</f>
        <v>Société Mutualiste</v>
      </c>
      <c r="Q2902" t="str">
        <f t="shared" si="415"/>
        <v>36</v>
      </c>
      <c r="R2902" t="str">
        <f t="shared" si="416"/>
        <v>Tarifs conventionnels assurance maladie</v>
      </c>
      <c r="U2902" t="str">
        <f>"510024581"</f>
        <v>510024581</v>
      </c>
    </row>
    <row r="2903" spans="1:21" x14ac:dyDescent="0.3">
      <c r="A2903" t="str">
        <f>"140017146"</f>
        <v>140017146</v>
      </c>
      <c r="B2903" t="str">
        <f>"775 672 272 31582"</f>
        <v>775 672 272 31582</v>
      </c>
      <c r="D2903" t="str">
        <f>"CENTRE DE SANTE INFIRMIER"</f>
        <v>CENTRE DE SANTE INFIRMIER</v>
      </c>
      <c r="F2903" t="str">
        <f>"9 RUE PONT DE CEL"</f>
        <v>9 RUE PONT DE CEL</v>
      </c>
      <c r="H2903" t="str">
        <f>"14110"</f>
        <v>14110</v>
      </c>
      <c r="I2903" t="str">
        <f>"CONDE EN NORMANDIE"</f>
        <v>CONDE EN NORMANDIE</v>
      </c>
      <c r="J2903" t="str">
        <f>"02 31 69 08 95 "</f>
        <v xml:space="preserve">02 31 69 08 95 </v>
      </c>
      <c r="L2903" s="1">
        <v>28171</v>
      </c>
      <c r="M2903" t="str">
        <f t="shared" si="417"/>
        <v>124</v>
      </c>
      <c r="N2903" t="str">
        <f t="shared" si="418"/>
        <v>Centre de Santé</v>
      </c>
      <c r="O2903" t="str">
        <f>"61"</f>
        <v>61</v>
      </c>
      <c r="P2903" t="str">
        <f>"Association Loi 1901 Reconnue d'Utilité Publique"</f>
        <v>Association Loi 1901 Reconnue d'Utilité Publique</v>
      </c>
      <c r="Q2903" t="str">
        <f t="shared" si="415"/>
        <v>36</v>
      </c>
      <c r="R2903" t="str">
        <f t="shared" si="416"/>
        <v>Tarifs conventionnels assurance maladie</v>
      </c>
      <c r="U2903" t="str">
        <f>"750721334"</f>
        <v>750721334</v>
      </c>
    </row>
    <row r="2904" spans="1:21" x14ac:dyDescent="0.3">
      <c r="A2904" t="str">
        <f>"520783671"</f>
        <v>520783671</v>
      </c>
      <c r="B2904" t="str">
        <f>"783 371 289 00118"</f>
        <v>783 371 289 00118</v>
      </c>
      <c r="D2904" t="str">
        <f>"CDS ST DIZIER"</f>
        <v>CDS ST DIZIER</v>
      </c>
      <c r="F2904" t="str">
        <f>"4 RUE GODARD JEANSON"</f>
        <v>4 RUE GODARD JEANSON</v>
      </c>
      <c r="H2904" t="str">
        <f>"52100"</f>
        <v>52100</v>
      </c>
      <c r="I2904" t="str">
        <f>"ST DIZIER"</f>
        <v>ST DIZIER</v>
      </c>
      <c r="J2904" t="str">
        <f>"03 25 05 40 73 "</f>
        <v xml:space="preserve">03 25 05 40 73 </v>
      </c>
      <c r="L2904" s="1">
        <v>28156</v>
      </c>
      <c r="M2904" t="str">
        <f t="shared" si="417"/>
        <v>124</v>
      </c>
      <c r="N2904" t="str">
        <f t="shared" si="418"/>
        <v>Centre de Santé</v>
      </c>
      <c r="O2904" t="str">
        <f>"40"</f>
        <v>40</v>
      </c>
      <c r="P2904" t="str">
        <f>"Régime Général de Sécurité Sociale"</f>
        <v>Régime Général de Sécurité Sociale</v>
      </c>
      <c r="Q2904" t="str">
        <f t="shared" si="415"/>
        <v>36</v>
      </c>
      <c r="R2904" t="str">
        <f t="shared" si="416"/>
        <v>Tarifs conventionnels assurance maladie</v>
      </c>
      <c r="U2904" t="str">
        <f>"540020658"</f>
        <v>540020658</v>
      </c>
    </row>
    <row r="2905" spans="1:21" x14ac:dyDescent="0.3">
      <c r="A2905" t="str">
        <f>"250005485"</f>
        <v>250005485</v>
      </c>
      <c r="B2905" t="str">
        <f>"310 306 964 00043"</f>
        <v>310 306 964 00043</v>
      </c>
      <c r="D2905" t="str">
        <f>"CSI VIA'DOM"</f>
        <v>CSI VIA'DOM</v>
      </c>
      <c r="F2905" t="str">
        <f>"17 RUE DE SOCHAUX"</f>
        <v>17 RUE DE SOCHAUX</v>
      </c>
      <c r="H2905" t="str">
        <f>"25200"</f>
        <v>25200</v>
      </c>
      <c r="I2905" t="str">
        <f>"GRAND CHARMONT"</f>
        <v>GRAND CHARMONT</v>
      </c>
      <c r="J2905" t="str">
        <f>"03 81 96 63 20 "</f>
        <v xml:space="preserve">03 81 96 63 20 </v>
      </c>
      <c r="K2905" t="str">
        <f>"03 81 92 92 83"</f>
        <v>03 81 92 92 83</v>
      </c>
      <c r="L2905" s="1">
        <v>28145</v>
      </c>
      <c r="M2905" t="str">
        <f t="shared" si="417"/>
        <v>124</v>
      </c>
      <c r="N2905" t="str">
        <f t="shared" si="418"/>
        <v>Centre de Santé</v>
      </c>
      <c r="O2905" t="str">
        <f>"60"</f>
        <v>60</v>
      </c>
      <c r="P2905" t="str">
        <f>"Association Loi 1901 non Reconnue d'Utilité Publique"</f>
        <v>Association Loi 1901 non Reconnue d'Utilité Publique</v>
      </c>
      <c r="Q2905" t="str">
        <f t="shared" si="415"/>
        <v>36</v>
      </c>
      <c r="R2905" t="str">
        <f t="shared" si="416"/>
        <v>Tarifs conventionnels assurance maladie</v>
      </c>
      <c r="U2905" t="str">
        <f>"250001146"</f>
        <v>250001146</v>
      </c>
    </row>
    <row r="2906" spans="1:21" x14ac:dyDescent="0.3">
      <c r="A2906" t="str">
        <f>"330790064"</f>
        <v>330790064</v>
      </c>
      <c r="B2906" t="str">
        <f>"338 660 392 00022"</f>
        <v>338 660 392 00022</v>
      </c>
      <c r="D2906" t="str">
        <f>"CENTRE DE SOINS INFIRMIERS"</f>
        <v>CENTRE DE SOINS INFIRMIERS</v>
      </c>
      <c r="F2906" t="str">
        <f>"119 RUE ABBE DE L'EPEE"</f>
        <v>119 RUE ABBE DE L'EPEE</v>
      </c>
      <c r="H2906" t="str">
        <f>"33000"</f>
        <v>33000</v>
      </c>
      <c r="I2906" t="str">
        <f>"BORDEAUX"</f>
        <v>BORDEAUX</v>
      </c>
      <c r="J2906" t="str">
        <f>"05 56 01 92 03 "</f>
        <v xml:space="preserve">05 56 01 92 03 </v>
      </c>
      <c r="K2906" t="str">
        <f>"05 56 01 17 25"</f>
        <v>05 56 01 17 25</v>
      </c>
      <c r="L2906" s="1">
        <v>28126</v>
      </c>
      <c r="M2906" t="str">
        <f t="shared" si="417"/>
        <v>124</v>
      </c>
      <c r="N2906" t="str">
        <f t="shared" si="418"/>
        <v>Centre de Santé</v>
      </c>
      <c r="O2906" t="str">
        <f>"60"</f>
        <v>60</v>
      </c>
      <c r="P2906" t="str">
        <f>"Association Loi 1901 non Reconnue d'Utilité Publique"</f>
        <v>Association Loi 1901 non Reconnue d'Utilité Publique</v>
      </c>
      <c r="Q2906" t="str">
        <f t="shared" si="415"/>
        <v>36</v>
      </c>
      <c r="R2906" t="str">
        <f t="shared" si="416"/>
        <v>Tarifs conventionnels assurance maladie</v>
      </c>
      <c r="U2906" t="str">
        <f>"330057977"</f>
        <v>330057977</v>
      </c>
    </row>
    <row r="2907" spans="1:21" x14ac:dyDescent="0.3">
      <c r="A2907" t="str">
        <f>"540012739"</f>
        <v>540012739</v>
      </c>
      <c r="B2907" t="str">
        <f>"775 685 316 03623"</f>
        <v>775 685 316 03623</v>
      </c>
      <c r="D2907" t="str">
        <f>"CSP FILIERIS DE JARNY"</f>
        <v>CSP FILIERIS DE JARNY</v>
      </c>
      <c r="F2907" t="str">
        <f>"20 RUE DU POINT DU JOUR"</f>
        <v>20 RUE DU POINT DU JOUR</v>
      </c>
      <c r="H2907" t="str">
        <f>"54800"</f>
        <v>54800</v>
      </c>
      <c r="I2907" t="str">
        <f>"JARNY"</f>
        <v>JARNY</v>
      </c>
      <c r="J2907" t="str">
        <f>"03 82 33 15 26 "</f>
        <v xml:space="preserve">03 82 33 15 26 </v>
      </c>
      <c r="L2907" s="1">
        <v>28126</v>
      </c>
      <c r="M2907" t="str">
        <f t="shared" si="417"/>
        <v>124</v>
      </c>
      <c r="N2907" t="str">
        <f t="shared" si="418"/>
        <v>Centre de Santé</v>
      </c>
      <c r="O2907" t="str">
        <f>"41"</f>
        <v>41</v>
      </c>
      <c r="P2907" t="str">
        <f>"Régime Spécial de Sécurité Sociale"</f>
        <v>Régime Spécial de Sécurité Sociale</v>
      </c>
      <c r="Q2907" t="str">
        <f t="shared" si="415"/>
        <v>36</v>
      </c>
      <c r="R2907" t="str">
        <f t="shared" si="416"/>
        <v>Tarifs conventionnels assurance maladie</v>
      </c>
      <c r="U2907" t="str">
        <f>"750050759"</f>
        <v>750050759</v>
      </c>
    </row>
    <row r="2908" spans="1:21" x14ac:dyDescent="0.3">
      <c r="A2908" t="str">
        <f>"580005700"</f>
        <v>580005700</v>
      </c>
      <c r="B2908" t="str">
        <f>"775 567 761 01916"</f>
        <v>775 567 761 01916</v>
      </c>
      <c r="D2908" t="str">
        <f>"CENTRE DENTAIRE MUTUALISTE"</f>
        <v>CENTRE DENTAIRE MUTUALISTE</v>
      </c>
      <c r="F2908" t="str">
        <f>"7 BIS AVENUE COLBERT"</f>
        <v>7 BIS AVENUE COLBERT</v>
      </c>
      <c r="H2908" t="str">
        <f>"58000"</f>
        <v>58000</v>
      </c>
      <c r="I2908" t="str">
        <f>"NEVERS"</f>
        <v>NEVERS</v>
      </c>
      <c r="J2908" t="str">
        <f>"03 86 71 61 52 "</f>
        <v xml:space="preserve">03 86 71 61 52 </v>
      </c>
      <c r="K2908" t="str">
        <f>"03 86 71 68 29"</f>
        <v>03 86 71 68 29</v>
      </c>
      <c r="L2908" s="1">
        <v>28126</v>
      </c>
      <c r="M2908" t="str">
        <f t="shared" si="417"/>
        <v>124</v>
      </c>
      <c r="N2908" t="str">
        <f t="shared" si="418"/>
        <v>Centre de Santé</v>
      </c>
      <c r="O2908" t="str">
        <f>"47"</f>
        <v>47</v>
      </c>
      <c r="P2908" t="str">
        <f>"Société Mutualiste"</f>
        <v>Société Mutualiste</v>
      </c>
      <c r="Q2908" t="str">
        <f t="shared" si="415"/>
        <v>36</v>
      </c>
      <c r="R2908" t="str">
        <f t="shared" si="416"/>
        <v>Tarifs conventionnels assurance maladie</v>
      </c>
      <c r="U2908" t="str">
        <f>"210781266"</f>
        <v>210781266</v>
      </c>
    </row>
    <row r="2909" spans="1:21" x14ac:dyDescent="0.3">
      <c r="A2909" t="str">
        <f>"370002560"</f>
        <v>370002560</v>
      </c>
      <c r="B2909" t="str">
        <f>"309 073 153 00020"</f>
        <v>309 073 153 00020</v>
      </c>
      <c r="D2909" t="str">
        <f>"CENTRE DE SOINS INFIRMIERS"</f>
        <v>CENTRE DE SOINS INFIRMIERS</v>
      </c>
      <c r="F2909" t="str">
        <f>"32 RUE GAMBETTA"</f>
        <v>32 RUE GAMBETTA</v>
      </c>
      <c r="H2909" t="str">
        <f>"37110"</f>
        <v>37110</v>
      </c>
      <c r="I2909" t="str">
        <f>"CHATEAU RENAULT"</f>
        <v>CHATEAU RENAULT</v>
      </c>
      <c r="J2909" t="str">
        <f>"02 47 56 22 86 "</f>
        <v xml:space="preserve">02 47 56 22 86 </v>
      </c>
      <c r="K2909" t="str">
        <f>"02 47 56 22 86"</f>
        <v>02 47 56 22 86</v>
      </c>
      <c r="L2909" s="1">
        <v>28095</v>
      </c>
      <c r="M2909" t="str">
        <f t="shared" si="417"/>
        <v>124</v>
      </c>
      <c r="N2909" t="str">
        <f t="shared" si="418"/>
        <v>Centre de Santé</v>
      </c>
      <c r="O2909" t="str">
        <f>"60"</f>
        <v>60</v>
      </c>
      <c r="P2909" t="str">
        <f>"Association Loi 1901 non Reconnue d'Utilité Publique"</f>
        <v>Association Loi 1901 non Reconnue d'Utilité Publique</v>
      </c>
      <c r="Q2909" t="str">
        <f t="shared" si="415"/>
        <v>36</v>
      </c>
      <c r="R2909" t="str">
        <f t="shared" si="416"/>
        <v>Tarifs conventionnels assurance maladie</v>
      </c>
      <c r="U2909" t="str">
        <f>"370001083"</f>
        <v>370001083</v>
      </c>
    </row>
    <row r="2910" spans="1:21" x14ac:dyDescent="0.3">
      <c r="A2910" t="str">
        <f>"940010408"</f>
        <v>940010408</v>
      </c>
      <c r="B2910" t="str">
        <f>"219 400 546 00285"</f>
        <v>219 400 546 00285</v>
      </c>
      <c r="D2910" t="str">
        <f>"CDS MEDICO SOCIAL MUNICIPAL ORLY"</f>
        <v>CDS MEDICO SOCIAL MUNICIPAL ORLY</v>
      </c>
      <c r="F2910" t="str">
        <f>"37 RUE DU DOCTEUR CALMETTE"</f>
        <v>37 RUE DU DOCTEUR CALMETTE</v>
      </c>
      <c r="H2910" t="str">
        <f>"94310"</f>
        <v>94310</v>
      </c>
      <c r="I2910" t="str">
        <f>"ORLY"</f>
        <v>ORLY</v>
      </c>
      <c r="J2910" t="str">
        <f>"01 48 90 24 00 "</f>
        <v xml:space="preserve">01 48 90 24 00 </v>
      </c>
      <c r="K2910" t="str">
        <f>"01 48 90 24 02"</f>
        <v>01 48 90 24 02</v>
      </c>
      <c r="L2910" s="1">
        <v>28093</v>
      </c>
      <c r="M2910" t="str">
        <f t="shared" si="417"/>
        <v>124</v>
      </c>
      <c r="N2910" t="str">
        <f t="shared" si="418"/>
        <v>Centre de Santé</v>
      </c>
      <c r="O2910" t="str">
        <f>"03"</f>
        <v>03</v>
      </c>
      <c r="P2910" t="str">
        <f>"Commune"</f>
        <v>Commune</v>
      </c>
      <c r="Q2910" t="str">
        <f t="shared" si="415"/>
        <v>36</v>
      </c>
      <c r="R2910" t="str">
        <f t="shared" si="416"/>
        <v>Tarifs conventionnels assurance maladie</v>
      </c>
      <c r="U2910" t="str">
        <f>"940790249"</f>
        <v>940790249</v>
      </c>
    </row>
    <row r="2911" spans="1:21" x14ac:dyDescent="0.3">
      <c r="A2911" t="str">
        <f>"250006319"</f>
        <v>250006319</v>
      </c>
      <c r="B2911" t="str">
        <f>"821 184 165 00024"</f>
        <v>821 184 165 00024</v>
      </c>
      <c r="D2911" t="str">
        <f>"CENTRE SOINS INFIRMIERS SELONCOURT"</f>
        <v>CENTRE SOINS INFIRMIERS SELONCOURT</v>
      </c>
      <c r="F2911" t="str">
        <f>"6 RUE DE LA FONDERIE"</f>
        <v>6 RUE DE LA FONDERIE</v>
      </c>
      <c r="H2911" t="str">
        <f>"25230"</f>
        <v>25230</v>
      </c>
      <c r="I2911" t="str">
        <f>"SELONCOURT"</f>
        <v>SELONCOURT</v>
      </c>
      <c r="J2911" t="str">
        <f>"03 81 34 76 59 "</f>
        <v xml:space="preserve">03 81 34 76 59 </v>
      </c>
      <c r="L2911" s="1">
        <v>28034</v>
      </c>
      <c r="M2911" t="str">
        <f t="shared" si="417"/>
        <v>124</v>
      </c>
      <c r="N2911" t="str">
        <f t="shared" si="418"/>
        <v>Centre de Santé</v>
      </c>
      <c r="O2911" t="str">
        <f>"60"</f>
        <v>60</v>
      </c>
      <c r="P2911" t="str">
        <f>"Association Loi 1901 non Reconnue d'Utilité Publique"</f>
        <v>Association Loi 1901 non Reconnue d'Utilité Publique</v>
      </c>
      <c r="Q2911" t="str">
        <f t="shared" si="415"/>
        <v>36</v>
      </c>
      <c r="R2911" t="str">
        <f t="shared" si="416"/>
        <v>Tarifs conventionnels assurance maladie</v>
      </c>
      <c r="U2911" t="str">
        <f>"250021342"</f>
        <v>250021342</v>
      </c>
    </row>
    <row r="2912" spans="1:21" x14ac:dyDescent="0.3">
      <c r="A2912" t="str">
        <f>"510002207"</f>
        <v>510002207</v>
      </c>
      <c r="B2912" t="str">
        <f>"308 949 486 00010"</f>
        <v>308 949 486 00010</v>
      </c>
      <c r="D2912" t="str">
        <f>"CTRE SOINS INF QUART CROIX ROUGE"</f>
        <v>CTRE SOINS INF QUART CROIX ROUGE</v>
      </c>
      <c r="F2912" t="str">
        <f>"14 ALLEE MAURICE LEMAITRE"</f>
        <v>14 ALLEE MAURICE LEMAITRE</v>
      </c>
      <c r="H2912" t="str">
        <f>"51100"</f>
        <v>51100</v>
      </c>
      <c r="I2912" t="str">
        <f>"REIMS"</f>
        <v>REIMS</v>
      </c>
      <c r="J2912" t="str">
        <f>"03 26 08 27 67 "</f>
        <v xml:space="preserve">03 26 08 27 67 </v>
      </c>
      <c r="K2912" t="str">
        <f>"03 26 48 24 28"</f>
        <v>03 26 48 24 28</v>
      </c>
      <c r="L2912" s="1">
        <v>28034</v>
      </c>
      <c r="M2912" t="str">
        <f t="shared" si="417"/>
        <v>124</v>
      </c>
      <c r="N2912" t="str">
        <f t="shared" si="418"/>
        <v>Centre de Santé</v>
      </c>
      <c r="O2912" t="str">
        <f>"60"</f>
        <v>60</v>
      </c>
      <c r="P2912" t="str">
        <f>"Association Loi 1901 non Reconnue d'Utilité Publique"</f>
        <v>Association Loi 1901 non Reconnue d'Utilité Publique</v>
      </c>
      <c r="Q2912" t="str">
        <f t="shared" si="415"/>
        <v>36</v>
      </c>
      <c r="R2912" t="str">
        <f t="shared" si="416"/>
        <v>Tarifs conventionnels assurance maladie</v>
      </c>
      <c r="U2912" t="str">
        <f>"510000938"</f>
        <v>510000938</v>
      </c>
    </row>
    <row r="2913" spans="1:21" x14ac:dyDescent="0.3">
      <c r="A2913" t="str">
        <f>"910040260"</f>
        <v>910040260</v>
      </c>
      <c r="B2913" t="str">
        <f>"269 100 509 00026"</f>
        <v>269 100 509 00026</v>
      </c>
      <c r="D2913" t="str">
        <f>"CDS SOINS INFIRMIERS CCAS"</f>
        <v>CDS SOINS INFIRMIERS CCAS</v>
      </c>
      <c r="F2913" t="str">
        <f>"19 PROMENADE DES PRES"</f>
        <v>19 PROMENADE DES PRES</v>
      </c>
      <c r="H2913" t="str">
        <f>"91150"</f>
        <v>91150</v>
      </c>
      <c r="I2913" t="str">
        <f>"ETAMPES"</f>
        <v>ETAMPES</v>
      </c>
      <c r="J2913" t="str">
        <f>"01 64 94 21 77 "</f>
        <v xml:space="preserve">01 64 94 21 77 </v>
      </c>
      <c r="L2913" s="1">
        <v>28034</v>
      </c>
      <c r="M2913" t="str">
        <f t="shared" si="417"/>
        <v>124</v>
      </c>
      <c r="N2913" t="str">
        <f t="shared" si="418"/>
        <v>Centre de Santé</v>
      </c>
      <c r="O2913" t="str">
        <f>"17"</f>
        <v>17</v>
      </c>
      <c r="P2913" t="str">
        <f>"Centre Communal d'Action Sociale"</f>
        <v>Centre Communal d'Action Sociale</v>
      </c>
      <c r="Q2913" t="str">
        <f t="shared" si="415"/>
        <v>36</v>
      </c>
      <c r="R2913" t="str">
        <f t="shared" si="416"/>
        <v>Tarifs conventionnels assurance maladie</v>
      </c>
      <c r="U2913" t="str">
        <f>"910807346"</f>
        <v>910807346</v>
      </c>
    </row>
    <row r="2914" spans="1:21" x14ac:dyDescent="0.3">
      <c r="A2914" t="str">
        <f>"920010725"</f>
        <v>920010725</v>
      </c>
      <c r="B2914" t="str">
        <f>"269 200 374 00057"</f>
        <v>269 200 374 00057</v>
      </c>
      <c r="D2914" t="str">
        <f>"CDS MUNICIPAL FONTENAY AUX ROSES"</f>
        <v>CDS MUNICIPAL FONTENAY AUX ROSES</v>
      </c>
      <c r="F2914" t="str">
        <f>"6 RUE ANTOINE PETIT"</f>
        <v>6 RUE ANTOINE PETIT</v>
      </c>
      <c r="H2914" t="str">
        <f>"92260"</f>
        <v>92260</v>
      </c>
      <c r="I2914" t="str">
        <f>"FONTENAY AUX ROSES"</f>
        <v>FONTENAY AUX ROSES</v>
      </c>
      <c r="J2914" t="str">
        <f>"01 46 61 12 86 "</f>
        <v xml:space="preserve">01 46 61 12 86 </v>
      </c>
      <c r="K2914" t="str">
        <f>"01 55 52 07 94"</f>
        <v>01 55 52 07 94</v>
      </c>
      <c r="L2914" s="1">
        <v>28034</v>
      </c>
      <c r="M2914" t="str">
        <f t="shared" si="417"/>
        <v>124</v>
      </c>
      <c r="N2914" t="str">
        <f t="shared" si="418"/>
        <v>Centre de Santé</v>
      </c>
      <c r="O2914" t="str">
        <f>"17"</f>
        <v>17</v>
      </c>
      <c r="P2914" t="str">
        <f>"Centre Communal d'Action Sociale"</f>
        <v>Centre Communal d'Action Sociale</v>
      </c>
      <c r="Q2914" t="str">
        <f t="shared" si="415"/>
        <v>36</v>
      </c>
      <c r="R2914" t="str">
        <f t="shared" si="416"/>
        <v>Tarifs conventionnels assurance maladie</v>
      </c>
      <c r="U2914" t="str">
        <f>"920807674"</f>
        <v>920807674</v>
      </c>
    </row>
    <row r="2915" spans="1:21" x14ac:dyDescent="0.3">
      <c r="A2915" t="str">
        <f>"930010798"</f>
        <v>930010798</v>
      </c>
      <c r="B2915" t="str">
        <f>"219 300 290 00380"</f>
        <v>219 300 290 00380</v>
      </c>
      <c r="D2915" t="str">
        <f>"CDS MUNICIPAL DE SANTE PIERRE SEMARD"</f>
        <v>CDS MUNICIPAL DE SANTE PIERRE SEMARD</v>
      </c>
      <c r="F2915" t="str">
        <f>"RUE DES COLIBRIS"</f>
        <v>RUE DES COLIBRIS</v>
      </c>
      <c r="H2915" t="str">
        <f>"93700"</f>
        <v>93700</v>
      </c>
      <c r="I2915" t="str">
        <f>"DRANCY"</f>
        <v>DRANCY</v>
      </c>
      <c r="J2915" t="str">
        <f>"01 41 60 83 00 "</f>
        <v xml:space="preserve">01 41 60 83 00 </v>
      </c>
      <c r="K2915" t="str">
        <f>"01 48 95 40 58"</f>
        <v>01 48 95 40 58</v>
      </c>
      <c r="L2915" s="1">
        <v>27973</v>
      </c>
      <c r="M2915" t="str">
        <f t="shared" si="417"/>
        <v>124</v>
      </c>
      <c r="N2915" t="str">
        <f t="shared" si="418"/>
        <v>Centre de Santé</v>
      </c>
      <c r="O2915" t="str">
        <f>"03"</f>
        <v>03</v>
      </c>
      <c r="P2915" t="str">
        <f>"Commune"</f>
        <v>Commune</v>
      </c>
      <c r="Q2915" t="str">
        <f t="shared" si="415"/>
        <v>36</v>
      </c>
      <c r="R2915" t="str">
        <f t="shared" si="416"/>
        <v>Tarifs conventionnels assurance maladie</v>
      </c>
      <c r="U2915" t="str">
        <f>"930812961"</f>
        <v>930812961</v>
      </c>
    </row>
    <row r="2916" spans="1:21" x14ac:dyDescent="0.3">
      <c r="A2916" t="str">
        <f>"290002278"</f>
        <v>290002278</v>
      </c>
      <c r="B2916" t="str">
        <f>"775 576 549 00452"</f>
        <v>775 576 549 00452</v>
      </c>
      <c r="D2916" t="str">
        <f>"CDS INFIRMIER MUTUALISTE"</f>
        <v>CDS INFIRMIER MUTUALISTE</v>
      </c>
      <c r="F2916" t="str">
        <f>"48 RUE DU CHATEAU"</f>
        <v>48 RUE DU CHATEAU</v>
      </c>
      <c r="H2916" t="str">
        <f>"29200"</f>
        <v>29200</v>
      </c>
      <c r="I2916" t="str">
        <f>"BREST"</f>
        <v>BREST</v>
      </c>
      <c r="J2916" t="str">
        <f>"02 98 43 36 36 "</f>
        <v xml:space="preserve">02 98 43 36 36 </v>
      </c>
      <c r="L2916" s="1">
        <v>27942</v>
      </c>
      <c r="M2916" t="str">
        <f t="shared" si="417"/>
        <v>124</v>
      </c>
      <c r="N2916" t="str">
        <f t="shared" si="418"/>
        <v>Centre de Santé</v>
      </c>
      <c r="O2916" t="str">
        <f>"47"</f>
        <v>47</v>
      </c>
      <c r="P2916" t="str">
        <f>"Société Mutualiste"</f>
        <v>Société Mutualiste</v>
      </c>
      <c r="Q2916" t="str">
        <f t="shared" si="415"/>
        <v>36</v>
      </c>
      <c r="R2916" t="str">
        <f t="shared" si="416"/>
        <v>Tarifs conventionnels assurance maladie</v>
      </c>
      <c r="U2916" t="str">
        <f>"290007574"</f>
        <v>290007574</v>
      </c>
    </row>
    <row r="2917" spans="1:21" x14ac:dyDescent="0.3">
      <c r="A2917" t="str">
        <f>"290009539"</f>
        <v>290009539</v>
      </c>
      <c r="B2917" t="str">
        <f>"306 957 796 00023"</f>
        <v>306 957 796 00023</v>
      </c>
      <c r="D2917" t="str">
        <f>"CDS INFIRMIER CAMILLE LEDUC"</f>
        <v>CDS INFIRMIER CAMILLE LEDUC</v>
      </c>
      <c r="F2917" t="str">
        <f>"25 BOULEVARD COMMANDANT MOUCHOTTE"</f>
        <v>25 BOULEVARD COMMANDANT MOUCHOTTE</v>
      </c>
      <c r="H2917" t="str">
        <f>"29200"</f>
        <v>29200</v>
      </c>
      <c r="I2917" t="str">
        <f>"BREST"</f>
        <v>BREST</v>
      </c>
      <c r="J2917" t="str">
        <f>"02 98 45 13 20 "</f>
        <v xml:space="preserve">02 98 45 13 20 </v>
      </c>
      <c r="L2917" s="1">
        <v>27942</v>
      </c>
      <c r="M2917" t="str">
        <f t="shared" si="417"/>
        <v>124</v>
      </c>
      <c r="N2917" t="str">
        <f t="shared" si="418"/>
        <v>Centre de Santé</v>
      </c>
      <c r="O2917" t="str">
        <f>"64"</f>
        <v>64</v>
      </c>
      <c r="P2917" t="str">
        <f>"Congrégation"</f>
        <v>Congrégation</v>
      </c>
      <c r="Q2917" t="str">
        <f t="shared" si="415"/>
        <v>36</v>
      </c>
      <c r="R2917" t="str">
        <f t="shared" si="416"/>
        <v>Tarifs conventionnels assurance maladie</v>
      </c>
      <c r="U2917" t="str">
        <f>"290006295"</f>
        <v>290006295</v>
      </c>
    </row>
    <row r="2918" spans="1:21" x14ac:dyDescent="0.3">
      <c r="A2918" t="str">
        <f>"500002944"</f>
        <v>500002944</v>
      </c>
      <c r="B2918" t="str">
        <f>"775 672 272 16286"</f>
        <v>775 672 272 16286</v>
      </c>
      <c r="D2918" t="str">
        <f>"CENTRE DE SOINS INFIRMIERS - AVRANCHES"</f>
        <v>CENTRE DE SOINS INFIRMIERS - AVRANCHES</v>
      </c>
      <c r="E2918" t="str">
        <f>"CROIX ROUGE FRANCAISE"</f>
        <v>CROIX ROUGE FRANCAISE</v>
      </c>
      <c r="F2918" t="str">
        <f>"5 RUE SAINT SATURNIN"</f>
        <v>5 RUE SAINT SATURNIN</v>
      </c>
      <c r="H2918" t="str">
        <f>"50300"</f>
        <v>50300</v>
      </c>
      <c r="I2918" t="str">
        <f>"AVRANCHES"</f>
        <v>AVRANCHES</v>
      </c>
      <c r="J2918" t="str">
        <f>"02 33 58 02 90 "</f>
        <v xml:space="preserve">02 33 58 02 90 </v>
      </c>
      <c r="L2918" s="1">
        <v>27912</v>
      </c>
      <c r="M2918" t="str">
        <f t="shared" si="417"/>
        <v>124</v>
      </c>
      <c r="N2918" t="str">
        <f t="shared" si="418"/>
        <v>Centre de Santé</v>
      </c>
      <c r="O2918" t="str">
        <f>"61"</f>
        <v>61</v>
      </c>
      <c r="P2918" t="str">
        <f>"Association Loi 1901 Reconnue d'Utilité Publique"</f>
        <v>Association Loi 1901 Reconnue d'Utilité Publique</v>
      </c>
      <c r="Q2918" t="str">
        <f t="shared" si="415"/>
        <v>36</v>
      </c>
      <c r="R2918" t="str">
        <f t="shared" si="416"/>
        <v>Tarifs conventionnels assurance maladie</v>
      </c>
      <c r="U2918" t="str">
        <f>"750721334"</f>
        <v>750721334</v>
      </c>
    </row>
    <row r="2919" spans="1:21" x14ac:dyDescent="0.3">
      <c r="A2919" t="str">
        <f>"830208120"</f>
        <v>830208120</v>
      </c>
      <c r="B2919" t="str">
        <f>"775 685 316 00173"</f>
        <v>775 685 316 00173</v>
      </c>
      <c r="D2919" t="str">
        <f>"CDS MEDICAL FILIERIS BRIGNOLES"</f>
        <v>CDS MEDICAL FILIERIS BRIGNOLES</v>
      </c>
      <c r="F2919" t="str">
        <f>"117 AVENUE MARECHAL FOCH"</f>
        <v>117 AVENUE MARECHAL FOCH</v>
      </c>
      <c r="H2919" t="str">
        <f>"83170"</f>
        <v>83170</v>
      </c>
      <c r="I2919" t="str">
        <f>"BRIGNOLES"</f>
        <v>BRIGNOLES</v>
      </c>
      <c r="J2919" t="str">
        <f>"04 22 18 00 01 "</f>
        <v xml:space="preserve">04 22 18 00 01 </v>
      </c>
      <c r="L2919" s="1">
        <v>27895</v>
      </c>
      <c r="M2919" t="str">
        <f t="shared" si="417"/>
        <v>124</v>
      </c>
      <c r="N2919" t="str">
        <f t="shared" si="418"/>
        <v>Centre de Santé</v>
      </c>
      <c r="O2919" t="str">
        <f>"41"</f>
        <v>41</v>
      </c>
      <c r="P2919" t="str">
        <f>"Régime Spécial de Sécurité Sociale"</f>
        <v>Régime Spécial de Sécurité Sociale</v>
      </c>
      <c r="Q2919" t="str">
        <f t="shared" ref="Q2919:Q2982" si="422">"36"</f>
        <v>36</v>
      </c>
      <c r="R2919" t="str">
        <f t="shared" ref="R2919:R2982" si="423">"Tarifs conventionnels assurance maladie"</f>
        <v>Tarifs conventionnels assurance maladie</v>
      </c>
      <c r="U2919" t="str">
        <f>"750050759"</f>
        <v>750050759</v>
      </c>
    </row>
    <row r="2920" spans="1:21" x14ac:dyDescent="0.3">
      <c r="A2920" t="str">
        <f>"560023574"</f>
        <v>560023574</v>
      </c>
      <c r="B2920" t="str">
        <f>"314 305 632 00023"</f>
        <v>314 305 632 00023</v>
      </c>
      <c r="D2920" t="str">
        <f>"CDS INFIRMIERS DE LA TRINITE PORHOET"</f>
        <v>CDS INFIRMIERS DE LA TRINITE PORHOET</v>
      </c>
      <c r="F2920" t="str">
        <f>"3 PLACE DE LA GARAUDIERE"</f>
        <v>3 PLACE DE LA GARAUDIERE</v>
      </c>
      <c r="H2920" t="str">
        <f>"56490"</f>
        <v>56490</v>
      </c>
      <c r="I2920" t="str">
        <f>"LA TRINITE PORHOET"</f>
        <v>LA TRINITE PORHOET</v>
      </c>
      <c r="J2920" t="str">
        <f>"02 97 93 91 38 "</f>
        <v xml:space="preserve">02 97 93 91 38 </v>
      </c>
      <c r="K2920" t="str">
        <f>"02 97 93 99 30"</f>
        <v>02 97 93 99 30</v>
      </c>
      <c r="L2920" s="1">
        <v>27883</v>
      </c>
      <c r="M2920" t="str">
        <f t="shared" si="417"/>
        <v>124</v>
      </c>
      <c r="N2920" t="str">
        <f t="shared" si="418"/>
        <v>Centre de Santé</v>
      </c>
      <c r="O2920" t="str">
        <f>"60"</f>
        <v>60</v>
      </c>
      <c r="P2920" t="str">
        <f>"Association Loi 1901 non Reconnue d'Utilité Publique"</f>
        <v>Association Loi 1901 non Reconnue d'Utilité Publique</v>
      </c>
      <c r="Q2920" t="str">
        <f t="shared" si="422"/>
        <v>36</v>
      </c>
      <c r="R2920" t="str">
        <f t="shared" si="423"/>
        <v>Tarifs conventionnels assurance maladie</v>
      </c>
      <c r="U2920" t="str">
        <f>"560001463"</f>
        <v>560001463</v>
      </c>
    </row>
    <row r="2921" spans="1:21" x14ac:dyDescent="0.3">
      <c r="A2921" t="str">
        <f>"310786678"</f>
        <v>310786678</v>
      </c>
      <c r="B2921" t="str">
        <f>"306 002 494 00038"</f>
        <v>306 002 494 00038</v>
      </c>
      <c r="D2921" t="str">
        <f>"CENTRE DE SOINS INFIRMIERS AMIDONIERS"</f>
        <v>CENTRE DE SOINS INFIRMIERS AMIDONIERS</v>
      </c>
      <c r="F2921" t="str">
        <f>"2 ALLEE DU NIGER"</f>
        <v>2 ALLEE DU NIGER</v>
      </c>
      <c r="H2921" t="str">
        <f>"31000"</f>
        <v>31000</v>
      </c>
      <c r="I2921" t="str">
        <f>"TOULOUSE"</f>
        <v>TOULOUSE</v>
      </c>
      <c r="J2921" t="str">
        <f>"05 61 23 12 27 "</f>
        <v xml:space="preserve">05 61 23 12 27 </v>
      </c>
      <c r="K2921" t="str">
        <f>"05 61 13 96 29"</f>
        <v>05 61 13 96 29</v>
      </c>
      <c r="L2921" s="1">
        <v>27851</v>
      </c>
      <c r="M2921" t="str">
        <f t="shared" si="417"/>
        <v>124</v>
      </c>
      <c r="N2921" t="str">
        <f t="shared" si="418"/>
        <v>Centre de Santé</v>
      </c>
      <c r="O2921" t="str">
        <f>"60"</f>
        <v>60</v>
      </c>
      <c r="P2921" t="str">
        <f>"Association Loi 1901 non Reconnue d'Utilité Publique"</f>
        <v>Association Loi 1901 non Reconnue d'Utilité Publique</v>
      </c>
      <c r="Q2921" t="str">
        <f t="shared" si="422"/>
        <v>36</v>
      </c>
      <c r="R2921" t="str">
        <f t="shared" si="423"/>
        <v>Tarifs conventionnels assurance maladie</v>
      </c>
      <c r="U2921" t="str">
        <f>"310788815"</f>
        <v>310788815</v>
      </c>
    </row>
    <row r="2922" spans="1:21" x14ac:dyDescent="0.3">
      <c r="A2922" t="str">
        <f>"930020490"</f>
        <v>930020490</v>
      </c>
      <c r="D2922" t="str">
        <f>"CDS DENTAIRE EMMAUS"</f>
        <v>CDS DENTAIRE EMMAUS</v>
      </c>
      <c r="F2922" t="str">
        <f>"10 RUE LISBONNE"</f>
        <v>10 RUE LISBONNE</v>
      </c>
      <c r="H2922" t="str">
        <f>"93600"</f>
        <v>93600</v>
      </c>
      <c r="I2922" t="str">
        <f>"AULNAY SOUS BOIS"</f>
        <v>AULNAY SOUS BOIS</v>
      </c>
      <c r="J2922" t="str">
        <f>"01 48 66 10 94 "</f>
        <v xml:space="preserve">01 48 66 10 94 </v>
      </c>
      <c r="L2922" s="1">
        <v>27845</v>
      </c>
      <c r="M2922" t="str">
        <f t="shared" si="417"/>
        <v>124</v>
      </c>
      <c r="N2922" t="str">
        <f t="shared" si="418"/>
        <v>Centre de Santé</v>
      </c>
      <c r="O2922" t="str">
        <f>"03"</f>
        <v>03</v>
      </c>
      <c r="P2922" t="str">
        <f>"Commune"</f>
        <v>Commune</v>
      </c>
      <c r="Q2922" t="str">
        <f t="shared" si="422"/>
        <v>36</v>
      </c>
      <c r="R2922" t="str">
        <f t="shared" si="423"/>
        <v>Tarifs conventionnels assurance maladie</v>
      </c>
      <c r="U2922" t="str">
        <f>"930812870"</f>
        <v>930812870</v>
      </c>
    </row>
    <row r="2923" spans="1:21" x14ac:dyDescent="0.3">
      <c r="A2923" t="str">
        <f>"330792748"</f>
        <v>330792748</v>
      </c>
      <c r="B2923" t="str">
        <f>"775 584 972 00282"</f>
        <v>775 584 972 00282</v>
      </c>
      <c r="D2923" t="str">
        <f>"CENTRE DE SANTE MEDICAL GALLIENI"</f>
        <v>CENTRE DE SANTE MEDICAL GALLIENI</v>
      </c>
      <c r="F2923" t="str">
        <f>"45 COURS DU MARECHAL GALLIENI"</f>
        <v>45 COURS DU MARECHAL GALLIENI</v>
      </c>
      <c r="H2923" t="str">
        <f>"33082"</f>
        <v>33082</v>
      </c>
      <c r="I2923" t="str">
        <f>"BORDEAUX CEDEX"</f>
        <v>BORDEAUX CEDEX</v>
      </c>
      <c r="J2923" t="str">
        <f>"05 56 33 95 50 "</f>
        <v xml:space="preserve">05 56 33 95 50 </v>
      </c>
      <c r="K2923" t="str">
        <f>"05 57 81 24 61"</f>
        <v>05 57 81 24 61</v>
      </c>
      <c r="L2923" s="1">
        <v>27807</v>
      </c>
      <c r="M2923" t="str">
        <f t="shared" si="417"/>
        <v>124</v>
      </c>
      <c r="N2923" t="str">
        <f t="shared" si="418"/>
        <v>Centre de Santé</v>
      </c>
      <c r="O2923" t="str">
        <f>"47"</f>
        <v>47</v>
      </c>
      <c r="P2923" t="str">
        <f>"Société Mutualiste"</f>
        <v>Société Mutualiste</v>
      </c>
      <c r="Q2923" t="str">
        <f t="shared" si="422"/>
        <v>36</v>
      </c>
      <c r="R2923" t="str">
        <f t="shared" si="423"/>
        <v>Tarifs conventionnels assurance maladie</v>
      </c>
      <c r="U2923" t="str">
        <f>"330796392"</f>
        <v>330796392</v>
      </c>
    </row>
    <row r="2924" spans="1:21" x14ac:dyDescent="0.3">
      <c r="A2924" t="str">
        <f>"170781215"</f>
        <v>170781215</v>
      </c>
      <c r="B2924" t="str">
        <f>"781 340 419 00071"</f>
        <v>781 340 419 00071</v>
      </c>
      <c r="D2924" t="str">
        <f>"CENTRE DE SANTE ESCALE"</f>
        <v>CENTRE DE SANTE ESCALE</v>
      </c>
      <c r="F2924" t="str">
        <f>"68 RUE DES VOILIERS"</f>
        <v>68 RUE DES VOILIERS</v>
      </c>
      <c r="H2924" t="str">
        <f>"17000"</f>
        <v>17000</v>
      </c>
      <c r="I2924" t="str">
        <f>"LA ROCHELLE"</f>
        <v>LA ROCHELLE</v>
      </c>
      <c r="J2924" t="str">
        <f>"05 46 42 48 09 "</f>
        <v xml:space="preserve">05 46 42 48 09 </v>
      </c>
      <c r="K2924" t="str">
        <f>"05 46 67 97 87"</f>
        <v>05 46 67 97 87</v>
      </c>
      <c r="L2924" s="1">
        <v>27760</v>
      </c>
      <c r="M2924" t="str">
        <f t="shared" si="417"/>
        <v>124</v>
      </c>
      <c r="N2924" t="str">
        <f t="shared" si="418"/>
        <v>Centre de Santé</v>
      </c>
      <c r="O2924" t="str">
        <f>"60"</f>
        <v>60</v>
      </c>
      <c r="P2924" t="str">
        <f>"Association Loi 1901 non Reconnue d'Utilité Publique"</f>
        <v>Association Loi 1901 non Reconnue d'Utilité Publique</v>
      </c>
      <c r="Q2924" t="str">
        <f t="shared" si="422"/>
        <v>36</v>
      </c>
      <c r="R2924" t="str">
        <f t="shared" si="423"/>
        <v>Tarifs conventionnels assurance maladie</v>
      </c>
      <c r="U2924" t="str">
        <f>"170791230"</f>
        <v>170791230</v>
      </c>
    </row>
    <row r="2925" spans="1:21" x14ac:dyDescent="0.3">
      <c r="A2925" t="str">
        <f>"310782651"</f>
        <v>310782651</v>
      </c>
      <c r="B2925" t="str">
        <f>"311 189 005 00029"</f>
        <v>311 189 005 00029</v>
      </c>
      <c r="D2925" t="str">
        <f>"CENTRE DE SOINS INFIRMIERS EMPALOT"</f>
        <v>CENTRE DE SOINS INFIRMIERS EMPALOT</v>
      </c>
      <c r="F2925" t="str">
        <f>"6 PLACE GUY HERSANT"</f>
        <v>6 PLACE GUY HERSANT</v>
      </c>
      <c r="H2925" t="str">
        <f>"31400"</f>
        <v>31400</v>
      </c>
      <c r="I2925" t="str">
        <f>"TOULOUSE"</f>
        <v>TOULOUSE</v>
      </c>
      <c r="J2925" t="str">
        <f>"05 61 52 63 14 "</f>
        <v xml:space="preserve">05 61 52 63 14 </v>
      </c>
      <c r="L2925" s="1">
        <v>27760</v>
      </c>
      <c r="M2925" t="str">
        <f t="shared" si="417"/>
        <v>124</v>
      </c>
      <c r="N2925" t="str">
        <f t="shared" si="418"/>
        <v>Centre de Santé</v>
      </c>
      <c r="O2925" t="str">
        <f>"60"</f>
        <v>60</v>
      </c>
      <c r="P2925" t="str">
        <f>"Association Loi 1901 non Reconnue d'Utilité Publique"</f>
        <v>Association Loi 1901 non Reconnue d'Utilité Publique</v>
      </c>
      <c r="Q2925" t="str">
        <f t="shared" si="422"/>
        <v>36</v>
      </c>
      <c r="R2925" t="str">
        <f t="shared" si="423"/>
        <v>Tarifs conventionnels assurance maladie</v>
      </c>
      <c r="U2925" t="str">
        <f>"310000781"</f>
        <v>310000781</v>
      </c>
    </row>
    <row r="2926" spans="1:21" x14ac:dyDescent="0.3">
      <c r="A2926" t="str">
        <f>"920010477"</f>
        <v>920010477</v>
      </c>
      <c r="B2926" t="str">
        <f>"219 200 466 00213"</f>
        <v>219 200 466 00213</v>
      </c>
      <c r="D2926" t="str">
        <f>"CDS MUNICIPAL JACQUELINE AKOUN CORNET"</f>
        <v>CDS MUNICIPAL JACQUELINE AKOUN CORNET</v>
      </c>
      <c r="F2926" t="str">
        <f>"74 RUE JULES GUESDE"</f>
        <v>74 RUE JULES GUESDE</v>
      </c>
      <c r="H2926" t="str">
        <f>"92240"</f>
        <v>92240</v>
      </c>
      <c r="I2926" t="str">
        <f>"MALAKOFF"</f>
        <v>MALAKOFF</v>
      </c>
      <c r="J2926" t="str">
        <f>"01 46 44 07 38 "</f>
        <v xml:space="preserve">01 46 44 07 38 </v>
      </c>
      <c r="K2926" t="str">
        <f>"01 46 44 56 00"</f>
        <v>01 46 44 56 00</v>
      </c>
      <c r="L2926" s="1">
        <v>27701</v>
      </c>
      <c r="M2926" t="str">
        <f t="shared" si="417"/>
        <v>124</v>
      </c>
      <c r="N2926" t="str">
        <f t="shared" si="418"/>
        <v>Centre de Santé</v>
      </c>
      <c r="O2926" t="str">
        <f>"03"</f>
        <v>03</v>
      </c>
      <c r="P2926" t="str">
        <f>"Commune"</f>
        <v>Commune</v>
      </c>
      <c r="Q2926" t="str">
        <f t="shared" si="422"/>
        <v>36</v>
      </c>
      <c r="R2926" t="str">
        <f t="shared" si="423"/>
        <v>Tarifs conventionnels assurance maladie</v>
      </c>
      <c r="U2926" t="str">
        <f>"920807732"</f>
        <v>920807732</v>
      </c>
    </row>
    <row r="2927" spans="1:21" x14ac:dyDescent="0.3">
      <c r="A2927" t="str">
        <f>"880781257"</f>
        <v>880781257</v>
      </c>
      <c r="B2927" t="str">
        <f>"775 615 537 00872"</f>
        <v>775 615 537 00872</v>
      </c>
      <c r="D2927" t="str">
        <f>"CENTRE DE SANTE DENTAIRE UTML"</f>
        <v>CENTRE DE SANTE DENTAIRE UTML</v>
      </c>
      <c r="F2927" t="str">
        <f>"116 RUE DE LA FILATURE"</f>
        <v>116 RUE DE LA FILATURE</v>
      </c>
      <c r="H2927" t="str">
        <f>"88200"</f>
        <v>88200</v>
      </c>
      <c r="I2927" t="str">
        <f>"REMIREMONT"</f>
        <v>REMIREMONT</v>
      </c>
      <c r="J2927" t="str">
        <f>"03 29 62 22 02 "</f>
        <v xml:space="preserve">03 29 62 22 02 </v>
      </c>
      <c r="L2927" s="1">
        <v>27699</v>
      </c>
      <c r="M2927" t="str">
        <f t="shared" si="417"/>
        <v>124</v>
      </c>
      <c r="N2927" t="str">
        <f t="shared" si="418"/>
        <v>Centre de Santé</v>
      </c>
      <c r="O2927" t="str">
        <f>"47"</f>
        <v>47</v>
      </c>
      <c r="P2927" t="str">
        <f>"Société Mutualiste"</f>
        <v>Société Mutualiste</v>
      </c>
      <c r="Q2927" t="str">
        <f t="shared" si="422"/>
        <v>36</v>
      </c>
      <c r="R2927" t="str">
        <f t="shared" si="423"/>
        <v>Tarifs conventionnels assurance maladie</v>
      </c>
      <c r="U2927" t="str">
        <f>"540013042"</f>
        <v>540013042</v>
      </c>
    </row>
    <row r="2928" spans="1:21" x14ac:dyDescent="0.3">
      <c r="A2928" t="str">
        <f>"610784480"</f>
        <v>610784480</v>
      </c>
      <c r="B2928" t="str">
        <f>"305 065 179 00023"</f>
        <v>305 065 179 00023</v>
      </c>
      <c r="D2928" t="str">
        <f>"CENTRE DE SOINS INFIRMIERS - PUTANGES"</f>
        <v>CENTRE DE SOINS INFIRMIERS - PUTANGES</v>
      </c>
      <c r="F2928" t="str">
        <f>"9 RUE DE LA FORGE"</f>
        <v>9 RUE DE LA FORGE</v>
      </c>
      <c r="H2928" t="str">
        <f>"61210"</f>
        <v>61210</v>
      </c>
      <c r="I2928" t="str">
        <f>"PUTANGES LE LAC"</f>
        <v>PUTANGES LE LAC</v>
      </c>
      <c r="J2928" t="str">
        <f>"02 33 35 01 41 "</f>
        <v xml:space="preserve">02 33 35 01 41 </v>
      </c>
      <c r="L2928" s="1">
        <v>27641</v>
      </c>
      <c r="M2928" t="str">
        <f t="shared" si="417"/>
        <v>124</v>
      </c>
      <c r="N2928" t="str">
        <f t="shared" si="418"/>
        <v>Centre de Santé</v>
      </c>
      <c r="O2928" t="str">
        <f>"60"</f>
        <v>60</v>
      </c>
      <c r="P2928" t="str">
        <f>"Association Loi 1901 non Reconnue d'Utilité Publique"</f>
        <v>Association Loi 1901 non Reconnue d'Utilité Publique</v>
      </c>
      <c r="Q2928" t="str">
        <f t="shared" si="422"/>
        <v>36</v>
      </c>
      <c r="R2928" t="str">
        <f t="shared" si="423"/>
        <v>Tarifs conventionnels assurance maladie</v>
      </c>
      <c r="U2928" t="str">
        <f>"610000507"</f>
        <v>610000507</v>
      </c>
    </row>
    <row r="2929" spans="1:21" x14ac:dyDescent="0.3">
      <c r="A2929" t="str">
        <f>"250007044"</f>
        <v>250007044</v>
      </c>
      <c r="B2929" t="str">
        <f>"775 571 276 00242"</f>
        <v>775 571 276 00242</v>
      </c>
      <c r="D2929" t="str">
        <f>"CENTRE SANTE DENTAIRE CRAS"</f>
        <v>CENTRE SANTE DENTAIRE CRAS</v>
      </c>
      <c r="F2929" t="str">
        <f>"67 RUE DES CRAS"</f>
        <v>67 RUE DES CRAS</v>
      </c>
      <c r="H2929" t="str">
        <f>"25041"</f>
        <v>25041</v>
      </c>
      <c r="I2929" t="str">
        <f>"BESANCON CEDEX"</f>
        <v>BESANCON CEDEX</v>
      </c>
      <c r="J2929" t="str">
        <f>"03 81 65 80 00 "</f>
        <v xml:space="preserve">03 81 65 80 00 </v>
      </c>
      <c r="K2929" t="str">
        <f>"03 81 65 82 52"</f>
        <v>03 81 65 82 52</v>
      </c>
      <c r="L2929" s="1">
        <v>27607</v>
      </c>
      <c r="M2929" t="str">
        <f t="shared" si="417"/>
        <v>124</v>
      </c>
      <c r="N2929" t="str">
        <f t="shared" si="418"/>
        <v>Centre de Santé</v>
      </c>
      <c r="O2929" t="str">
        <f>"47"</f>
        <v>47</v>
      </c>
      <c r="P2929" t="str">
        <f>"Société Mutualiste"</f>
        <v>Société Mutualiste</v>
      </c>
      <c r="Q2929" t="str">
        <f t="shared" si="422"/>
        <v>36</v>
      </c>
      <c r="R2929" t="str">
        <f t="shared" si="423"/>
        <v>Tarifs conventionnels assurance maladie</v>
      </c>
      <c r="U2929" t="str">
        <f>"250001161"</f>
        <v>250001161</v>
      </c>
    </row>
    <row r="2930" spans="1:21" x14ac:dyDescent="0.3">
      <c r="A2930" t="str">
        <f>"680002235"</f>
        <v>680002235</v>
      </c>
      <c r="B2930" t="str">
        <f>"317 164 689 00018"</f>
        <v>317 164 689 00018</v>
      </c>
      <c r="D2930" t="str">
        <f>"CENTRE DE SOINS INFIRMIERS DE DORNACH"</f>
        <v>CENTRE DE SOINS INFIRMIERS DE DORNACH</v>
      </c>
      <c r="F2930" t="str">
        <f>"8 RUE DE BELFORT"</f>
        <v>8 RUE DE BELFORT</v>
      </c>
      <c r="H2930" t="str">
        <f>"68200"</f>
        <v>68200</v>
      </c>
      <c r="I2930" t="str">
        <f>"MULHOUSE"</f>
        <v>MULHOUSE</v>
      </c>
      <c r="J2930" t="str">
        <f>"03 89 42 35 29 "</f>
        <v xml:space="preserve">03 89 42 35 29 </v>
      </c>
      <c r="K2930" t="str">
        <f>"03 89 59 43 81"</f>
        <v>03 89 59 43 81</v>
      </c>
      <c r="L2930" s="1">
        <v>27607</v>
      </c>
      <c r="M2930" t="str">
        <f t="shared" si="417"/>
        <v>124</v>
      </c>
      <c r="N2930" t="str">
        <f t="shared" si="418"/>
        <v>Centre de Santé</v>
      </c>
      <c r="O2930" t="str">
        <f>"62"</f>
        <v>62</v>
      </c>
      <c r="P2930" t="str">
        <f>"Association de Droit Local"</f>
        <v>Association de Droit Local</v>
      </c>
      <c r="Q2930" t="str">
        <f t="shared" si="422"/>
        <v>36</v>
      </c>
      <c r="R2930" t="str">
        <f t="shared" si="423"/>
        <v>Tarifs conventionnels assurance maladie</v>
      </c>
      <c r="U2930" t="str">
        <f>"680013919"</f>
        <v>680013919</v>
      </c>
    </row>
    <row r="2931" spans="1:21" x14ac:dyDescent="0.3">
      <c r="A2931" t="str">
        <f>"610781171"</f>
        <v>610781171</v>
      </c>
      <c r="D2931" t="str">
        <f>"CENTRE DE SOINS POLYVALENT - ARGENTAN"</f>
        <v>CENTRE DE SOINS POLYVALENT - ARGENTAN</v>
      </c>
      <c r="F2931" t="str">
        <f>"16 RUE DE LA POTERIE"</f>
        <v>16 RUE DE LA POTERIE</v>
      </c>
      <c r="H2931" t="str">
        <f>"61200"</f>
        <v>61200</v>
      </c>
      <c r="I2931" t="str">
        <f>"ARGENTAN"</f>
        <v>ARGENTAN</v>
      </c>
      <c r="J2931" t="str">
        <f>"02 33 67 16 57 "</f>
        <v xml:space="preserve">02 33 67 16 57 </v>
      </c>
      <c r="K2931" t="str">
        <f>"02 33 36 61 64"</f>
        <v>02 33 36 61 64</v>
      </c>
      <c r="L2931" s="1">
        <v>27594</v>
      </c>
      <c r="M2931" t="str">
        <f t="shared" si="417"/>
        <v>124</v>
      </c>
      <c r="N2931" t="str">
        <f t="shared" si="418"/>
        <v>Centre de Santé</v>
      </c>
      <c r="O2931" t="str">
        <f>"60"</f>
        <v>60</v>
      </c>
      <c r="P2931" t="str">
        <f>"Association Loi 1901 non Reconnue d'Utilité Publique"</f>
        <v>Association Loi 1901 non Reconnue d'Utilité Publique</v>
      </c>
      <c r="Q2931" t="str">
        <f t="shared" si="422"/>
        <v>36</v>
      </c>
      <c r="R2931" t="str">
        <f t="shared" si="423"/>
        <v>Tarifs conventionnels assurance maladie</v>
      </c>
      <c r="U2931" t="str">
        <f>"610787038"</f>
        <v>610787038</v>
      </c>
    </row>
    <row r="2932" spans="1:21" x14ac:dyDescent="0.3">
      <c r="A2932" t="str">
        <f>"590791380"</f>
        <v>590791380</v>
      </c>
      <c r="B2932" t="str">
        <f>"904 962 974 00013"</f>
        <v>904 962 974 00013</v>
      </c>
      <c r="D2932" t="str">
        <f>"CSI DU DUNKERQUOIS"</f>
        <v>CSI DU DUNKERQUOIS</v>
      </c>
      <c r="F2932" t="str">
        <f>"16 RUE SAINT MATHIEU"</f>
        <v>16 RUE SAINT MATHIEU</v>
      </c>
      <c r="H2932" t="str">
        <f>"59140"</f>
        <v>59140</v>
      </c>
      <c r="I2932" t="str">
        <f>"DUNKERQUE"</f>
        <v>DUNKERQUE</v>
      </c>
      <c r="J2932" t="str">
        <f>"03 28 64 44 65 "</f>
        <v xml:space="preserve">03 28 64 44 65 </v>
      </c>
      <c r="L2932" s="1">
        <v>27565</v>
      </c>
      <c r="M2932" t="str">
        <f t="shared" si="417"/>
        <v>124</v>
      </c>
      <c r="N2932" t="str">
        <f t="shared" si="418"/>
        <v>Centre de Santé</v>
      </c>
      <c r="O2932" t="str">
        <f>"61"</f>
        <v>61</v>
      </c>
      <c r="P2932" t="str">
        <f>"Association Loi 1901 Reconnue d'Utilité Publique"</f>
        <v>Association Loi 1901 Reconnue d'Utilité Publique</v>
      </c>
      <c r="Q2932" t="str">
        <f t="shared" si="422"/>
        <v>36</v>
      </c>
      <c r="R2932" t="str">
        <f t="shared" si="423"/>
        <v>Tarifs conventionnels assurance maladie</v>
      </c>
      <c r="U2932" t="str">
        <f>"620036012"</f>
        <v>620036012</v>
      </c>
    </row>
    <row r="2933" spans="1:21" x14ac:dyDescent="0.3">
      <c r="A2933" t="str">
        <f>"930801329"</f>
        <v>930801329</v>
      </c>
      <c r="B2933" t="str">
        <f>"219 300 290 00471"</f>
        <v>219 300 290 00471</v>
      </c>
      <c r="D2933" t="str">
        <f>"CDS ANNEXE DRANCY"</f>
        <v>CDS ANNEXE DRANCY</v>
      </c>
      <c r="F2933" t="str">
        <f>"RUE DES BOIS DE GROSLAY"</f>
        <v>RUE DES BOIS DE GROSLAY</v>
      </c>
      <c r="H2933" t="str">
        <f>"93700"</f>
        <v>93700</v>
      </c>
      <c r="I2933" t="str">
        <f>"DRANCY"</f>
        <v>DRANCY</v>
      </c>
      <c r="J2933" t="str">
        <f>"01 48 30 50 93 "</f>
        <v xml:space="preserve">01 48 30 50 93 </v>
      </c>
      <c r="K2933" t="str">
        <f>"01 41 60 03 61"</f>
        <v>01 41 60 03 61</v>
      </c>
      <c r="L2933" s="1">
        <v>27547</v>
      </c>
      <c r="M2933" t="str">
        <f t="shared" si="417"/>
        <v>124</v>
      </c>
      <c r="N2933" t="str">
        <f t="shared" si="418"/>
        <v>Centre de Santé</v>
      </c>
      <c r="O2933" t="str">
        <f>"03"</f>
        <v>03</v>
      </c>
      <c r="P2933" t="str">
        <f>"Commune"</f>
        <v>Commune</v>
      </c>
      <c r="Q2933" t="str">
        <f t="shared" si="422"/>
        <v>36</v>
      </c>
      <c r="R2933" t="str">
        <f t="shared" si="423"/>
        <v>Tarifs conventionnels assurance maladie</v>
      </c>
      <c r="U2933" t="str">
        <f>"930812961"</f>
        <v>930812961</v>
      </c>
    </row>
    <row r="2934" spans="1:21" x14ac:dyDescent="0.3">
      <c r="A2934" t="str">
        <f>"940060817"</f>
        <v>940060817</v>
      </c>
      <c r="B2934" t="str">
        <f>"219 400 819 00708"</f>
        <v>219 400 819 00708</v>
      </c>
      <c r="D2934" t="str">
        <f>"CDS MUNICIPAL PIERRE ROUQUES"</f>
        <v>CDS MUNICIPAL PIERRE ROUQUES</v>
      </c>
      <c r="E2934" t="str">
        <f>"12-14"</f>
        <v>12-14</v>
      </c>
      <c r="F2934" t="str">
        <f>"12 RUE DU GENERAL DE GAULLE"</f>
        <v>12 RUE DU GENERAL DE GAULLE</v>
      </c>
      <c r="H2934" t="str">
        <f>"94400"</f>
        <v>94400</v>
      </c>
      <c r="I2934" t="str">
        <f>"VITRY SUR SEINE"</f>
        <v>VITRY SUR SEINE</v>
      </c>
      <c r="J2934" t="str">
        <f>"01 55 53 50 80 "</f>
        <v xml:space="preserve">01 55 53 50 80 </v>
      </c>
      <c r="K2934" t="str">
        <f>"01 46 82 80 14"</f>
        <v>01 46 82 80 14</v>
      </c>
      <c r="L2934" s="1">
        <v>27516</v>
      </c>
      <c r="M2934" t="str">
        <f t="shared" si="417"/>
        <v>124</v>
      </c>
      <c r="N2934" t="str">
        <f t="shared" si="418"/>
        <v>Centre de Santé</v>
      </c>
      <c r="O2934" t="str">
        <f>"03"</f>
        <v>03</v>
      </c>
      <c r="P2934" t="str">
        <f>"Commune"</f>
        <v>Commune</v>
      </c>
      <c r="Q2934" t="str">
        <f t="shared" si="422"/>
        <v>36</v>
      </c>
      <c r="R2934" t="str">
        <f t="shared" si="423"/>
        <v>Tarifs conventionnels assurance maladie</v>
      </c>
      <c r="U2934" t="str">
        <f>"940806227"</f>
        <v>940806227</v>
      </c>
    </row>
    <row r="2935" spans="1:21" x14ac:dyDescent="0.3">
      <c r="A2935" t="str">
        <f>"750012429"</f>
        <v>750012429</v>
      </c>
      <c r="B2935" t="str">
        <f>"130 010 804 00016"</f>
        <v>130 010 804 00016</v>
      </c>
      <c r="D2935" t="str">
        <f>"CDS MEDICAL ET DENTAIRE INSEP"</f>
        <v>CDS MEDICAL ET DENTAIRE INSEP</v>
      </c>
      <c r="F2935" t="str">
        <f>"11 AVENUE DU TREMBLAY"</f>
        <v>11 AVENUE DU TREMBLAY</v>
      </c>
      <c r="H2935" t="str">
        <f>"75012"</f>
        <v>75012</v>
      </c>
      <c r="I2935" t="str">
        <f>"PARIS"</f>
        <v>PARIS</v>
      </c>
      <c r="J2935" t="str">
        <f>"01 41 74 43 04 "</f>
        <v xml:space="preserve">01 41 74 43 04 </v>
      </c>
      <c r="K2935" t="str">
        <f>"01 41 74 42 88"</f>
        <v>01 41 74 42 88</v>
      </c>
      <c r="L2935" s="1">
        <v>27515</v>
      </c>
      <c r="M2935" t="str">
        <f t="shared" si="417"/>
        <v>124</v>
      </c>
      <c r="N2935" t="str">
        <f t="shared" si="418"/>
        <v>Centre de Santé</v>
      </c>
      <c r="O2935" t="str">
        <f>"60"</f>
        <v>60</v>
      </c>
      <c r="P2935" t="str">
        <f>"Association Loi 1901 non Reconnue d'Utilité Publique"</f>
        <v>Association Loi 1901 non Reconnue d'Utilité Publique</v>
      </c>
      <c r="Q2935" t="str">
        <f t="shared" si="422"/>
        <v>36</v>
      </c>
      <c r="R2935" t="str">
        <f t="shared" si="423"/>
        <v>Tarifs conventionnels assurance maladie</v>
      </c>
      <c r="U2935" t="str">
        <f>"750002982"</f>
        <v>750002982</v>
      </c>
    </row>
    <row r="2936" spans="1:21" x14ac:dyDescent="0.3">
      <c r="A2936" t="str">
        <f>"250004504"</f>
        <v>250004504</v>
      </c>
      <c r="B2936" t="str">
        <f>"775 571 276 00572"</f>
        <v>775 571 276 00572</v>
      </c>
      <c r="D2936" t="str">
        <f>"CENTRE SANTE DENTAIRE MONTBELIARD"</f>
        <v>CENTRE SANTE DENTAIRE MONTBELIARD</v>
      </c>
      <c r="F2936" t="str">
        <f>"3 RUE DE L ECOLE FRANCAISE"</f>
        <v>3 RUE DE L ECOLE FRANCAISE</v>
      </c>
      <c r="H2936" t="str">
        <f>"25200"</f>
        <v>25200</v>
      </c>
      <c r="I2936" t="str">
        <f>"MONTBELIARD"</f>
        <v>MONTBELIARD</v>
      </c>
      <c r="J2936" t="str">
        <f>"03 81 94 67 55 "</f>
        <v xml:space="preserve">03 81 94 67 55 </v>
      </c>
      <c r="K2936" t="str">
        <f>"03 81 32 10 36"</f>
        <v>03 81 32 10 36</v>
      </c>
      <c r="L2936" s="1">
        <v>27514</v>
      </c>
      <c r="M2936" t="str">
        <f t="shared" si="417"/>
        <v>124</v>
      </c>
      <c r="N2936" t="str">
        <f t="shared" si="418"/>
        <v>Centre de Santé</v>
      </c>
      <c r="O2936" t="str">
        <f>"47"</f>
        <v>47</v>
      </c>
      <c r="P2936" t="str">
        <f>"Société Mutualiste"</f>
        <v>Société Mutualiste</v>
      </c>
      <c r="Q2936" t="str">
        <f t="shared" si="422"/>
        <v>36</v>
      </c>
      <c r="R2936" t="str">
        <f t="shared" si="423"/>
        <v>Tarifs conventionnels assurance maladie</v>
      </c>
      <c r="U2936" t="str">
        <f>"250001161"</f>
        <v>250001161</v>
      </c>
    </row>
    <row r="2937" spans="1:21" x14ac:dyDescent="0.3">
      <c r="A2937" t="str">
        <f>"450002472"</f>
        <v>450002472</v>
      </c>
      <c r="B2937" t="str">
        <f>"775 347 891 01439"</f>
        <v>775 347 891 01439</v>
      </c>
      <c r="D2937" t="str">
        <f>"CENTRE SANTE DENTAIRE VYV3 ORLEANS"</f>
        <v>CENTRE SANTE DENTAIRE VYV3 ORLEANS</v>
      </c>
      <c r="F2937" t="str">
        <f>"6 RUE DES ANGLAISES"</f>
        <v>6 RUE DES ANGLAISES</v>
      </c>
      <c r="H2937" t="str">
        <f>"45000"</f>
        <v>45000</v>
      </c>
      <c r="I2937" t="str">
        <f>"ORLEANS"</f>
        <v>ORLEANS</v>
      </c>
      <c r="J2937" t="str">
        <f>"02 38 53 86 36 "</f>
        <v xml:space="preserve">02 38 53 86 36 </v>
      </c>
      <c r="K2937" t="str">
        <f>"02 38 80 27 32"</f>
        <v>02 38 80 27 32</v>
      </c>
      <c r="L2937" s="1">
        <v>27488</v>
      </c>
      <c r="M2937" t="str">
        <f t="shared" si="417"/>
        <v>124</v>
      </c>
      <c r="N2937" t="str">
        <f t="shared" si="418"/>
        <v>Centre de Santé</v>
      </c>
      <c r="O2937" t="str">
        <f>"47"</f>
        <v>47</v>
      </c>
      <c r="P2937" t="str">
        <f>"Société Mutualiste"</f>
        <v>Société Mutualiste</v>
      </c>
      <c r="Q2937" t="str">
        <f t="shared" si="422"/>
        <v>36</v>
      </c>
      <c r="R2937" t="str">
        <f t="shared" si="423"/>
        <v>Tarifs conventionnels assurance maladie</v>
      </c>
      <c r="U2937" t="str">
        <f>"370100935"</f>
        <v>370100935</v>
      </c>
    </row>
    <row r="2938" spans="1:21" x14ac:dyDescent="0.3">
      <c r="A2938" t="str">
        <f>"630785293"</f>
        <v>630785293</v>
      </c>
      <c r="B2938" t="str">
        <f>"775 602 436 01334"</f>
        <v>775 602 436 01334</v>
      </c>
      <c r="D2938" t="str">
        <f>"CENTRE DE SANTE DENTAIRE ST- JACQUES"</f>
        <v>CENTRE DE SANTE DENTAIRE ST- JACQUES</v>
      </c>
      <c r="F2938" t="str">
        <f>"156 AVENUE LEON BLUM"</f>
        <v>156 AVENUE LEON BLUM</v>
      </c>
      <c r="H2938" t="str">
        <f>"63000"</f>
        <v>63000</v>
      </c>
      <c r="I2938" t="str">
        <f>"CLERMONT FERRAND"</f>
        <v>CLERMONT FERRAND</v>
      </c>
      <c r="J2938" t="str">
        <f>"04 73 26 19 29 "</f>
        <v xml:space="preserve">04 73 26 19 29 </v>
      </c>
      <c r="L2938" s="1">
        <v>27470</v>
      </c>
      <c r="M2938" t="str">
        <f t="shared" si="417"/>
        <v>124</v>
      </c>
      <c r="N2938" t="str">
        <f t="shared" si="418"/>
        <v>Centre de Santé</v>
      </c>
      <c r="O2938" t="str">
        <f>"47"</f>
        <v>47</v>
      </c>
      <c r="P2938" t="str">
        <f>"Société Mutualiste"</f>
        <v>Société Mutualiste</v>
      </c>
      <c r="Q2938" t="str">
        <f t="shared" si="422"/>
        <v>36</v>
      </c>
      <c r="R2938" t="str">
        <f t="shared" si="423"/>
        <v>Tarifs conventionnels assurance maladie</v>
      </c>
      <c r="U2938" t="str">
        <f>"420787061"</f>
        <v>420787061</v>
      </c>
    </row>
    <row r="2939" spans="1:21" x14ac:dyDescent="0.3">
      <c r="A2939" t="str">
        <f>"560023541"</f>
        <v>560023541</v>
      </c>
      <c r="B2939" t="str">
        <f>"306 127 796 00010"</f>
        <v>306 127 796 00010</v>
      </c>
      <c r="D2939" t="str">
        <f>"CDS INFIRMIERS DE MALESTROIT"</f>
        <v>CDS INFIRMIERS DE MALESTROIT</v>
      </c>
      <c r="F2939" t="str">
        <f>"18 PLACE DU DOCTEUR JEAN QUEINNEC"</f>
        <v>18 PLACE DU DOCTEUR JEAN QUEINNEC</v>
      </c>
      <c r="H2939" t="str">
        <f>"56140"</f>
        <v>56140</v>
      </c>
      <c r="I2939" t="str">
        <f>"MALESTROIT"</f>
        <v>MALESTROIT</v>
      </c>
      <c r="J2939" t="str">
        <f>"02 97 75 13 27 "</f>
        <v xml:space="preserve">02 97 75 13 27 </v>
      </c>
      <c r="L2939" s="1">
        <v>27439</v>
      </c>
      <c r="M2939" t="str">
        <f t="shared" si="417"/>
        <v>124</v>
      </c>
      <c r="N2939" t="str">
        <f t="shared" si="418"/>
        <v>Centre de Santé</v>
      </c>
      <c r="O2939" t="str">
        <f t="shared" ref="O2939:O2945" si="424">"60"</f>
        <v>60</v>
      </c>
      <c r="P2939" t="str">
        <f t="shared" ref="P2939:P2945" si="425">"Association Loi 1901 non Reconnue d'Utilité Publique"</f>
        <v>Association Loi 1901 non Reconnue d'Utilité Publique</v>
      </c>
      <c r="Q2939" t="str">
        <f t="shared" si="422"/>
        <v>36</v>
      </c>
      <c r="R2939" t="str">
        <f t="shared" si="423"/>
        <v>Tarifs conventionnels assurance maladie</v>
      </c>
      <c r="U2939" t="str">
        <f>"560023533"</f>
        <v>560023533</v>
      </c>
    </row>
    <row r="2940" spans="1:21" x14ac:dyDescent="0.3">
      <c r="A2940" t="str">
        <f>"710781816"</f>
        <v>710781816</v>
      </c>
      <c r="B2940" t="str">
        <f>"303 655 948 00022"</f>
        <v>303 655 948 00022</v>
      </c>
      <c r="D2940" t="str">
        <f>"MAISON DE LA SANTE DU MACONNAIS"</f>
        <v>MAISON DE LA SANTE DU MACONNAIS</v>
      </c>
      <c r="F2940" t="str">
        <f>"1618 AVENUE CHARLES DE GAULLE"</f>
        <v>1618 AVENUE CHARLES DE GAULLE</v>
      </c>
      <c r="H2940" t="str">
        <f>"71000"</f>
        <v>71000</v>
      </c>
      <c r="I2940" t="str">
        <f>"MACON"</f>
        <v>MACON</v>
      </c>
      <c r="J2940" t="str">
        <f>"03 85 38 90 86 "</f>
        <v xml:space="preserve">03 85 38 90 86 </v>
      </c>
      <c r="L2940" s="1">
        <v>27409</v>
      </c>
      <c r="M2940" t="str">
        <f t="shared" si="417"/>
        <v>124</v>
      </c>
      <c r="N2940" t="str">
        <f t="shared" si="418"/>
        <v>Centre de Santé</v>
      </c>
      <c r="O2940" t="str">
        <f t="shared" si="424"/>
        <v>60</v>
      </c>
      <c r="P2940" t="str">
        <f t="shared" si="425"/>
        <v>Association Loi 1901 non Reconnue d'Utilité Publique</v>
      </c>
      <c r="Q2940" t="str">
        <f t="shared" si="422"/>
        <v>36</v>
      </c>
      <c r="R2940" t="str">
        <f t="shared" si="423"/>
        <v>Tarifs conventionnels assurance maladie</v>
      </c>
      <c r="U2940" t="str">
        <f>"710000456"</f>
        <v>710000456</v>
      </c>
    </row>
    <row r="2941" spans="1:21" x14ac:dyDescent="0.3">
      <c r="A2941" t="str">
        <f>"510002074"</f>
        <v>510002074</v>
      </c>
      <c r="B2941" t="str">
        <f>"312 517 980 00032"</f>
        <v>312 517 980 00032</v>
      </c>
      <c r="D2941" t="str">
        <f>"CENTRE DE SOINS INFIRMIERS 3 PILIERS"</f>
        <v>CENTRE DE SOINS INFIRMIERS 3 PILIERS</v>
      </c>
      <c r="F2941" t="str">
        <f>"2 RUE EMILE SENART"</f>
        <v>2 RUE EMILE SENART</v>
      </c>
      <c r="H2941" t="str">
        <f>"51100"</f>
        <v>51100</v>
      </c>
      <c r="I2941" t="str">
        <f>"REIMS"</f>
        <v>REIMS</v>
      </c>
      <c r="J2941" t="str">
        <f>"03 26 47 16 00 "</f>
        <v xml:space="preserve">03 26 47 16 00 </v>
      </c>
      <c r="K2941" t="str">
        <f>"03 26 86 82 33"</f>
        <v>03 26 86 82 33</v>
      </c>
      <c r="L2941" s="1">
        <v>27395</v>
      </c>
      <c r="M2941" t="str">
        <f t="shared" si="417"/>
        <v>124</v>
      </c>
      <c r="N2941" t="str">
        <f t="shared" si="418"/>
        <v>Centre de Santé</v>
      </c>
      <c r="O2941" t="str">
        <f t="shared" si="424"/>
        <v>60</v>
      </c>
      <c r="P2941" t="str">
        <f t="shared" si="425"/>
        <v>Association Loi 1901 non Reconnue d'Utilité Publique</v>
      </c>
      <c r="Q2941" t="str">
        <f t="shared" si="422"/>
        <v>36</v>
      </c>
      <c r="R2941" t="str">
        <f t="shared" si="423"/>
        <v>Tarifs conventionnels assurance maladie</v>
      </c>
      <c r="U2941" t="str">
        <f>"510001084"</f>
        <v>510001084</v>
      </c>
    </row>
    <row r="2942" spans="1:21" x14ac:dyDescent="0.3">
      <c r="A2942" t="str">
        <f>"620106385"</f>
        <v>620106385</v>
      </c>
      <c r="B2942" t="str">
        <f>"305 445 777 00017"</f>
        <v>305 445 777 00017</v>
      </c>
      <c r="D2942" t="str">
        <f>"CENTRE DE SOINS INFIRMIERS"</f>
        <v>CENTRE DE SOINS INFIRMIERS</v>
      </c>
      <c r="F2942" t="str">
        <f>"208 AVENUE ROGER SALENGRO"</f>
        <v>208 AVENUE ROGER SALENGRO</v>
      </c>
      <c r="H2942" t="str">
        <f>"62100"</f>
        <v>62100</v>
      </c>
      <c r="I2942" t="str">
        <f>"CALAIS"</f>
        <v>CALAIS</v>
      </c>
      <c r="J2942" t="str">
        <f>"03 21 34 65 73 "</f>
        <v xml:space="preserve">03 21 34 65 73 </v>
      </c>
      <c r="L2942" s="1">
        <v>27395</v>
      </c>
      <c r="M2942" t="str">
        <f t="shared" si="417"/>
        <v>124</v>
      </c>
      <c r="N2942" t="str">
        <f t="shared" si="418"/>
        <v>Centre de Santé</v>
      </c>
      <c r="O2942" t="str">
        <f t="shared" si="424"/>
        <v>60</v>
      </c>
      <c r="P2942" t="str">
        <f t="shared" si="425"/>
        <v>Association Loi 1901 non Reconnue d'Utilité Publique</v>
      </c>
      <c r="Q2942" t="str">
        <f t="shared" si="422"/>
        <v>36</v>
      </c>
      <c r="R2942" t="str">
        <f t="shared" si="423"/>
        <v>Tarifs conventionnels assurance maladie</v>
      </c>
      <c r="U2942" t="str">
        <f>"620001198"</f>
        <v>620001198</v>
      </c>
    </row>
    <row r="2943" spans="1:21" x14ac:dyDescent="0.3">
      <c r="A2943" t="str">
        <f>"430005702"</f>
        <v>430005702</v>
      </c>
      <c r="B2943" t="str">
        <f>"306 648 734 00037"</f>
        <v>306 648 734 00037</v>
      </c>
      <c r="D2943" t="str">
        <f>"CENTRE DE SANTE DE DUNIERES"</f>
        <v>CENTRE DE SANTE DE DUNIERES</v>
      </c>
      <c r="F2943" t="str">
        <f>"6 RUE FORESTIERE"</f>
        <v>6 RUE FORESTIERE</v>
      </c>
      <c r="H2943" t="str">
        <f>"43220"</f>
        <v>43220</v>
      </c>
      <c r="I2943" t="str">
        <f>"DUNIERES"</f>
        <v>DUNIERES</v>
      </c>
      <c r="J2943" t="str">
        <f>"04 71 66 80 37 "</f>
        <v xml:space="preserve">04 71 66 80 37 </v>
      </c>
      <c r="K2943" t="str">
        <f>"04 71 66 80 37"</f>
        <v>04 71 66 80 37</v>
      </c>
      <c r="L2943" s="1">
        <v>27379</v>
      </c>
      <c r="M2943" t="str">
        <f t="shared" si="417"/>
        <v>124</v>
      </c>
      <c r="N2943" t="str">
        <f t="shared" si="418"/>
        <v>Centre de Santé</v>
      </c>
      <c r="O2943" t="str">
        <f t="shared" si="424"/>
        <v>60</v>
      </c>
      <c r="P2943" t="str">
        <f t="shared" si="425"/>
        <v>Association Loi 1901 non Reconnue d'Utilité Publique</v>
      </c>
      <c r="Q2943" t="str">
        <f t="shared" si="422"/>
        <v>36</v>
      </c>
      <c r="R2943" t="str">
        <f t="shared" si="423"/>
        <v>Tarifs conventionnels assurance maladie</v>
      </c>
      <c r="U2943" t="str">
        <f>"430000869"</f>
        <v>430000869</v>
      </c>
    </row>
    <row r="2944" spans="1:21" x14ac:dyDescent="0.3">
      <c r="A2944" t="str">
        <f>"590781365"</f>
        <v>590781365</v>
      </c>
      <c r="B2944" t="str">
        <f>"301 711 180 00036"</f>
        <v>301 711 180 00036</v>
      </c>
      <c r="D2944" t="str">
        <f>"CENTRE DE SOINS INFIRMIERS"</f>
        <v>CENTRE DE SOINS INFIRMIERS</v>
      </c>
      <c r="F2944" t="str">
        <f>"20 RUE DE ROUBAIX"</f>
        <v>20 RUE DE ROUBAIX</v>
      </c>
      <c r="H2944" t="str">
        <f>"59242"</f>
        <v>59242</v>
      </c>
      <c r="I2944" t="str">
        <f>"TEMPLEUVE EN PEVELE"</f>
        <v>TEMPLEUVE EN PEVELE</v>
      </c>
      <c r="J2944" t="str">
        <f>"03 20 79 26 65 "</f>
        <v xml:space="preserve">03 20 79 26 65 </v>
      </c>
      <c r="L2944" s="1">
        <v>27379</v>
      </c>
      <c r="M2944" t="str">
        <f t="shared" si="417"/>
        <v>124</v>
      </c>
      <c r="N2944" t="str">
        <f t="shared" si="418"/>
        <v>Centre de Santé</v>
      </c>
      <c r="O2944" t="str">
        <f t="shared" si="424"/>
        <v>60</v>
      </c>
      <c r="P2944" t="str">
        <f t="shared" si="425"/>
        <v>Association Loi 1901 non Reconnue d'Utilité Publique</v>
      </c>
      <c r="Q2944" t="str">
        <f t="shared" si="422"/>
        <v>36</v>
      </c>
      <c r="R2944" t="str">
        <f t="shared" si="423"/>
        <v>Tarifs conventionnels assurance maladie</v>
      </c>
      <c r="U2944" t="str">
        <f>"590000329"</f>
        <v>590000329</v>
      </c>
    </row>
    <row r="2945" spans="1:21" x14ac:dyDescent="0.3">
      <c r="A2945" t="str">
        <f>"420782104"</f>
        <v>420782104</v>
      </c>
      <c r="B2945" t="str">
        <f>"302 003 348 00042"</f>
        <v>302 003 348 00042</v>
      </c>
      <c r="D2945" t="str">
        <f>"CENTRE DE SANTE LA RICAMARIE"</f>
        <v>CENTRE DE SANTE LA RICAMARIE</v>
      </c>
      <c r="F2945" t="str">
        <f>"6 RUE MARTIN BERNARD"</f>
        <v>6 RUE MARTIN BERNARD</v>
      </c>
      <c r="H2945" t="str">
        <f>"42150"</f>
        <v>42150</v>
      </c>
      <c r="I2945" t="str">
        <f>"LA RICAMARIE"</f>
        <v>LA RICAMARIE</v>
      </c>
      <c r="J2945" t="str">
        <f>"04 77 57 16 76 "</f>
        <v xml:space="preserve">04 77 57 16 76 </v>
      </c>
      <c r="K2945" t="str">
        <f>"04 77 57 89 79"</f>
        <v>04 77 57 89 79</v>
      </c>
      <c r="L2945" s="1">
        <v>27303</v>
      </c>
      <c r="M2945" t="str">
        <f t="shared" si="417"/>
        <v>124</v>
      </c>
      <c r="N2945" t="str">
        <f t="shared" si="418"/>
        <v>Centre de Santé</v>
      </c>
      <c r="O2945" t="str">
        <f t="shared" si="424"/>
        <v>60</v>
      </c>
      <c r="P2945" t="str">
        <f t="shared" si="425"/>
        <v>Association Loi 1901 non Reconnue d'Utilité Publique</v>
      </c>
      <c r="Q2945" t="str">
        <f t="shared" si="422"/>
        <v>36</v>
      </c>
      <c r="R2945" t="str">
        <f t="shared" si="423"/>
        <v>Tarifs conventionnels assurance maladie</v>
      </c>
      <c r="U2945" t="str">
        <f>"420000820"</f>
        <v>420000820</v>
      </c>
    </row>
    <row r="2946" spans="1:21" x14ac:dyDescent="0.3">
      <c r="A2946" t="str">
        <f>"750012379"</f>
        <v>750012379</v>
      </c>
      <c r="B2946" t="str">
        <f>"784 809 683 00625"</f>
        <v>784 809 683 00625</v>
      </c>
      <c r="D2946" t="str">
        <f>"CDS MEDICAL ET DENTAIRE ST VINCENT"</f>
        <v>CDS MEDICAL ET DENTAIRE ST VINCENT</v>
      </c>
      <c r="F2946" t="str">
        <f>"40 RUE MIOLLIS"</f>
        <v>40 RUE MIOLLIS</v>
      </c>
      <c r="H2946" t="str">
        <f>"75015"</f>
        <v>75015</v>
      </c>
      <c r="I2946" t="str">
        <f>"PARIS"</f>
        <v>PARIS</v>
      </c>
      <c r="J2946" t="str">
        <f>"01 47 34 11 49 "</f>
        <v xml:space="preserve">01 47 34 11 49 </v>
      </c>
      <c r="K2946" t="str">
        <f>"01 47 34 01 70"</f>
        <v>01 47 34 01 70</v>
      </c>
      <c r="L2946" s="1">
        <v>27286</v>
      </c>
      <c r="M2946" t="str">
        <f t="shared" ref="M2946:M3009" si="426">"124"</f>
        <v>124</v>
      </c>
      <c r="N2946" t="str">
        <f t="shared" ref="N2946:N3009" si="427">"Centre de Santé"</f>
        <v>Centre de Santé</v>
      </c>
      <c r="O2946" t="str">
        <f>"63"</f>
        <v>63</v>
      </c>
      <c r="P2946" t="str">
        <f>"Fondation"</f>
        <v>Fondation</v>
      </c>
      <c r="Q2946" t="str">
        <f t="shared" si="422"/>
        <v>36</v>
      </c>
      <c r="R2946" t="str">
        <f t="shared" si="423"/>
        <v>Tarifs conventionnels assurance maladie</v>
      </c>
      <c r="U2946" t="str">
        <f>"750712341"</f>
        <v>750712341</v>
      </c>
    </row>
    <row r="2947" spans="1:21" x14ac:dyDescent="0.3">
      <c r="A2947" t="str">
        <f>"440011740"</f>
        <v>440011740</v>
      </c>
      <c r="B2947" t="str">
        <f>"303 411 615 00063"</f>
        <v>303 411 615 00063</v>
      </c>
      <c r="D2947" t="str">
        <f>"CENTRE DE SANTE INFIRMIER DE  VARADES"</f>
        <v>CENTRE DE SANTE INFIRMIER DE  VARADES</v>
      </c>
      <c r="F2947" t="str">
        <f>"138 RUE DU PARC"</f>
        <v>138 RUE DU PARC</v>
      </c>
      <c r="G2947" t="str">
        <f>"VARADES"</f>
        <v>VARADES</v>
      </c>
      <c r="H2947" t="str">
        <f>"44370"</f>
        <v>44370</v>
      </c>
      <c r="I2947" t="str">
        <f>"LOIREAUXENCE"</f>
        <v>LOIREAUXENCE</v>
      </c>
      <c r="J2947" t="str">
        <f>"02 40 98 33 65 "</f>
        <v xml:space="preserve">02 40 98 33 65 </v>
      </c>
      <c r="K2947" t="str">
        <f>"02 40 09 73 65"</f>
        <v>02 40 09 73 65</v>
      </c>
      <c r="L2947" s="1">
        <v>27242</v>
      </c>
      <c r="M2947" t="str">
        <f t="shared" si="426"/>
        <v>124</v>
      </c>
      <c r="N2947" t="str">
        <f t="shared" si="427"/>
        <v>Centre de Santé</v>
      </c>
      <c r="O2947" t="str">
        <f>"60"</f>
        <v>60</v>
      </c>
      <c r="P2947" t="str">
        <f>"Association Loi 1901 non Reconnue d'Utilité Publique"</f>
        <v>Association Loi 1901 non Reconnue d'Utilité Publique</v>
      </c>
      <c r="Q2947" t="str">
        <f t="shared" si="422"/>
        <v>36</v>
      </c>
      <c r="R2947" t="str">
        <f t="shared" si="423"/>
        <v>Tarifs conventionnels assurance maladie</v>
      </c>
      <c r="U2947" t="str">
        <f>"440003937"</f>
        <v>440003937</v>
      </c>
    </row>
    <row r="2948" spans="1:21" x14ac:dyDescent="0.3">
      <c r="A2948" t="str">
        <f>"750021032"</f>
        <v>750021032</v>
      </c>
      <c r="B2948" t="str">
        <f>"775 672 272 07822"</f>
        <v>775 672 272 07822</v>
      </c>
      <c r="D2948" t="str">
        <f>"CDS LES OLYMPIADES"</f>
        <v>CDS LES OLYMPIADES</v>
      </c>
      <c r="F2948" t="str">
        <f>"5 RUE PONSCARME"</f>
        <v>5 RUE PONSCARME</v>
      </c>
      <c r="H2948" t="str">
        <f>"75013"</f>
        <v>75013</v>
      </c>
      <c r="I2948" t="str">
        <f>"PARIS"</f>
        <v>PARIS</v>
      </c>
      <c r="J2948" t="str">
        <f>"01 45 83 12 80 "</f>
        <v xml:space="preserve">01 45 83 12 80 </v>
      </c>
      <c r="K2948" t="str">
        <f>"01 45 83 00 43"</f>
        <v>01 45 83 00 43</v>
      </c>
      <c r="L2948" s="1">
        <v>27239</v>
      </c>
      <c r="M2948" t="str">
        <f t="shared" si="426"/>
        <v>124</v>
      </c>
      <c r="N2948" t="str">
        <f t="shared" si="427"/>
        <v>Centre de Santé</v>
      </c>
      <c r="O2948" t="str">
        <f>"61"</f>
        <v>61</v>
      </c>
      <c r="P2948" t="str">
        <f>"Association Loi 1901 Reconnue d'Utilité Publique"</f>
        <v>Association Loi 1901 Reconnue d'Utilité Publique</v>
      </c>
      <c r="Q2948" t="str">
        <f t="shared" si="422"/>
        <v>36</v>
      </c>
      <c r="R2948" t="str">
        <f t="shared" si="423"/>
        <v>Tarifs conventionnels assurance maladie</v>
      </c>
      <c r="U2948" t="str">
        <f>"750721334"</f>
        <v>750721334</v>
      </c>
    </row>
    <row r="2949" spans="1:21" x14ac:dyDescent="0.3">
      <c r="A2949" t="str">
        <f>"930010756"</f>
        <v>930010756</v>
      </c>
      <c r="B2949" t="str">
        <f>"219 300 068 00265"</f>
        <v>219 300 068 00265</v>
      </c>
      <c r="D2949" t="str">
        <f>"CDS MUNICIPAL ELSA RUSTIN"</f>
        <v>CDS MUNICIPAL ELSA RUSTIN</v>
      </c>
      <c r="F2949" t="str">
        <f>"13 RUE SADI CARNOT"</f>
        <v>13 RUE SADI CARNOT</v>
      </c>
      <c r="G2949" t="str">
        <f>"BP 89"</f>
        <v>BP 89</v>
      </c>
      <c r="H2949" t="str">
        <f>"93172"</f>
        <v>93172</v>
      </c>
      <c r="I2949" t="str">
        <f>"BAGNOLET CEDEX"</f>
        <v>BAGNOLET CEDEX</v>
      </c>
      <c r="J2949" t="str">
        <f>"01 49 93 60 53 "</f>
        <v xml:space="preserve">01 49 93 60 53 </v>
      </c>
      <c r="K2949" t="str">
        <f>"01 56 63 91 29"</f>
        <v>01 56 63 91 29</v>
      </c>
      <c r="L2949" s="1">
        <v>27176</v>
      </c>
      <c r="M2949" t="str">
        <f t="shared" si="426"/>
        <v>124</v>
      </c>
      <c r="N2949" t="str">
        <f t="shared" si="427"/>
        <v>Centre de Santé</v>
      </c>
      <c r="O2949" t="str">
        <f>"03"</f>
        <v>03</v>
      </c>
      <c r="P2949" t="str">
        <f>"Commune"</f>
        <v>Commune</v>
      </c>
      <c r="Q2949" t="str">
        <f t="shared" si="422"/>
        <v>36</v>
      </c>
      <c r="R2949" t="str">
        <f t="shared" si="423"/>
        <v>Tarifs conventionnels assurance maladie</v>
      </c>
      <c r="U2949" t="str">
        <f>"930812888"</f>
        <v>930812888</v>
      </c>
    </row>
    <row r="2950" spans="1:21" x14ac:dyDescent="0.3">
      <c r="A2950" t="str">
        <f>"420782435"</f>
        <v>420782435</v>
      </c>
      <c r="B2950" t="str">
        <f>"300 899 937 00035"</f>
        <v>300 899 937 00035</v>
      </c>
      <c r="D2950" t="str">
        <f>"CENTRE DE SANTE DE CHAMBON FEUGEROLLES"</f>
        <v>CENTRE DE SANTE DE CHAMBON FEUGEROLLES</v>
      </c>
      <c r="F2950" t="str">
        <f>"9 PLACE DU MARCHE"</f>
        <v>9 PLACE DU MARCHE</v>
      </c>
      <c r="H2950" t="str">
        <f>"42700"</f>
        <v>42700</v>
      </c>
      <c r="I2950" t="str">
        <f>"FIRMINY"</f>
        <v>FIRMINY</v>
      </c>
      <c r="L2950" s="1">
        <v>27123</v>
      </c>
      <c r="M2950" t="str">
        <f t="shared" si="426"/>
        <v>124</v>
      </c>
      <c r="N2950" t="str">
        <f t="shared" si="427"/>
        <v>Centre de Santé</v>
      </c>
      <c r="O2950" t="str">
        <f>"60"</f>
        <v>60</v>
      </c>
      <c r="P2950" t="str">
        <f>"Association Loi 1901 non Reconnue d'Utilité Publique"</f>
        <v>Association Loi 1901 non Reconnue d'Utilité Publique</v>
      </c>
      <c r="Q2950" t="str">
        <f t="shared" si="422"/>
        <v>36</v>
      </c>
      <c r="R2950" t="str">
        <f t="shared" si="423"/>
        <v>Tarifs conventionnels assurance maladie</v>
      </c>
      <c r="U2950" t="str">
        <f>"420000861"</f>
        <v>420000861</v>
      </c>
    </row>
    <row r="2951" spans="1:21" x14ac:dyDescent="0.3">
      <c r="A2951" t="str">
        <f>"580782142"</f>
        <v>580782142</v>
      </c>
      <c r="B2951" t="str">
        <f>"775 672 272 15668"</f>
        <v>775 672 272 15668</v>
      </c>
      <c r="D2951" t="str">
        <f>"CENTRE DE SOINS INFIRMIERS ST BENIN"</f>
        <v>CENTRE DE SOINS INFIRMIERS ST BENIN</v>
      </c>
      <c r="F2951" t="str">
        <f>"3 PLACE DE LA REPUBLIQUE"</f>
        <v>3 PLACE DE LA REPUBLIQUE</v>
      </c>
      <c r="H2951" t="str">
        <f>"58270"</f>
        <v>58270</v>
      </c>
      <c r="I2951" t="str">
        <f>"ST BENIN D AZY"</f>
        <v>ST BENIN D AZY</v>
      </c>
      <c r="J2951" t="str">
        <f>"03 86 58 41 87 "</f>
        <v xml:space="preserve">03 86 58 41 87 </v>
      </c>
      <c r="K2951" t="str">
        <f>"03 86 58 46 24"</f>
        <v>03 86 58 46 24</v>
      </c>
      <c r="L2951" s="1">
        <v>27123</v>
      </c>
      <c r="M2951" t="str">
        <f t="shared" si="426"/>
        <v>124</v>
      </c>
      <c r="N2951" t="str">
        <f t="shared" si="427"/>
        <v>Centre de Santé</v>
      </c>
      <c r="O2951" t="str">
        <f>"61"</f>
        <v>61</v>
      </c>
      <c r="P2951" t="str">
        <f>"Association Loi 1901 Reconnue d'Utilité Publique"</f>
        <v>Association Loi 1901 Reconnue d'Utilité Publique</v>
      </c>
      <c r="Q2951" t="str">
        <f t="shared" si="422"/>
        <v>36</v>
      </c>
      <c r="R2951" t="str">
        <f t="shared" si="423"/>
        <v>Tarifs conventionnels assurance maladie</v>
      </c>
      <c r="U2951" t="str">
        <f>"750721334"</f>
        <v>750721334</v>
      </c>
    </row>
    <row r="2952" spans="1:21" x14ac:dyDescent="0.3">
      <c r="A2952" t="str">
        <f>"250002961"</f>
        <v>250002961</v>
      </c>
      <c r="B2952" t="str">
        <f>"821 186 822 00028"</f>
        <v>821 186 822 00028</v>
      </c>
      <c r="D2952" t="str">
        <f>"CENTRE SOINS INFIRMIERS AUDINCOURT"</f>
        <v>CENTRE SOINS INFIRMIERS AUDINCOURT</v>
      </c>
      <c r="F2952" t="str">
        <f>"8 RUE DE BELFORT"</f>
        <v>8 RUE DE BELFORT</v>
      </c>
      <c r="H2952" t="str">
        <f>"25400"</f>
        <v>25400</v>
      </c>
      <c r="I2952" t="str">
        <f>"AUDINCOURT"</f>
        <v>AUDINCOURT</v>
      </c>
      <c r="J2952" t="str">
        <f>"03 81 34 38 12 "</f>
        <v xml:space="preserve">03 81 34 38 12 </v>
      </c>
      <c r="K2952" t="str">
        <f>"03 81 37 43 26"</f>
        <v>03 81 37 43 26</v>
      </c>
      <c r="L2952" s="1">
        <v>27120</v>
      </c>
      <c r="M2952" t="str">
        <f t="shared" si="426"/>
        <v>124</v>
      </c>
      <c r="N2952" t="str">
        <f t="shared" si="427"/>
        <v>Centre de Santé</v>
      </c>
      <c r="O2952" t="str">
        <f>"60"</f>
        <v>60</v>
      </c>
      <c r="P2952" t="str">
        <f>"Association Loi 1901 non Reconnue d'Utilité Publique"</f>
        <v>Association Loi 1901 non Reconnue d'Utilité Publique</v>
      </c>
      <c r="Q2952" t="str">
        <f t="shared" si="422"/>
        <v>36</v>
      </c>
      <c r="R2952" t="str">
        <f t="shared" si="423"/>
        <v>Tarifs conventionnels assurance maladie</v>
      </c>
      <c r="U2952" t="str">
        <f>"250021326"</f>
        <v>250021326</v>
      </c>
    </row>
    <row r="2953" spans="1:21" x14ac:dyDescent="0.3">
      <c r="A2953" t="str">
        <f>"310786546"</f>
        <v>310786546</v>
      </c>
      <c r="B2953" t="str">
        <f>"776 950 529 00078"</f>
        <v>776 950 529 00078</v>
      </c>
      <c r="D2953" t="str">
        <f>"CABINET DENTAIRE"</f>
        <v>CABINET DENTAIRE</v>
      </c>
      <c r="F2953" t="str">
        <f>"371 AVENUE DE SAINT PLANCARD"</f>
        <v>371 AVENUE DE SAINT PLANCARD</v>
      </c>
      <c r="H2953" t="str">
        <f>"31800"</f>
        <v>31800</v>
      </c>
      <c r="I2953" t="str">
        <f>"ST GAUDENS"</f>
        <v>ST GAUDENS</v>
      </c>
      <c r="J2953" t="str">
        <f>"05 61 89 60 55 "</f>
        <v xml:space="preserve">05 61 89 60 55 </v>
      </c>
      <c r="L2953" s="1">
        <v>27109</v>
      </c>
      <c r="M2953" t="str">
        <f t="shared" si="426"/>
        <v>124</v>
      </c>
      <c r="N2953" t="str">
        <f t="shared" si="427"/>
        <v>Centre de Santé</v>
      </c>
      <c r="O2953" t="str">
        <f>"47"</f>
        <v>47</v>
      </c>
      <c r="P2953" t="str">
        <f>"Société Mutualiste"</f>
        <v>Société Mutualiste</v>
      </c>
      <c r="Q2953" t="str">
        <f t="shared" si="422"/>
        <v>36</v>
      </c>
      <c r="R2953" t="str">
        <f t="shared" si="423"/>
        <v>Tarifs conventionnels assurance maladie</v>
      </c>
      <c r="U2953" t="str">
        <f>"310788682"</f>
        <v>310788682</v>
      </c>
    </row>
    <row r="2954" spans="1:21" x14ac:dyDescent="0.3">
      <c r="A2954" t="str">
        <f>"930010749"</f>
        <v>930010749</v>
      </c>
      <c r="B2954" t="str">
        <f>"219 300 274 00376"</f>
        <v>219 300 274 00376</v>
      </c>
      <c r="D2954" t="str">
        <f>"CDS MEDICO DENTAIRE SALVADOR ALLENDE"</f>
        <v>CDS MEDICO DENTAIRE SALVADOR ALLENDE</v>
      </c>
      <c r="F2954" t="str">
        <f>"2 MAIL DE L'EGALITE"</f>
        <v>2 MAIL DE L'EGALITE</v>
      </c>
      <c r="H2954" t="str">
        <f>"93120"</f>
        <v>93120</v>
      </c>
      <c r="I2954" t="str">
        <f>"LA COURNEUVE"</f>
        <v>LA COURNEUVE</v>
      </c>
      <c r="J2954" t="str">
        <f>"01 49 92 60 60 "</f>
        <v xml:space="preserve">01 49 92 60 60 </v>
      </c>
      <c r="K2954" t="str">
        <f>"01 49 92 61 27"</f>
        <v>01 49 92 61 27</v>
      </c>
      <c r="L2954" s="1">
        <v>27083</v>
      </c>
      <c r="M2954" t="str">
        <f t="shared" si="426"/>
        <v>124</v>
      </c>
      <c r="N2954" t="str">
        <f t="shared" si="427"/>
        <v>Centre de Santé</v>
      </c>
      <c r="O2954" t="str">
        <f>"03"</f>
        <v>03</v>
      </c>
      <c r="P2954" t="str">
        <f>"Commune"</f>
        <v>Commune</v>
      </c>
      <c r="Q2954" t="str">
        <f t="shared" si="422"/>
        <v>36</v>
      </c>
      <c r="R2954" t="str">
        <f t="shared" si="423"/>
        <v>Tarifs conventionnels assurance maladie</v>
      </c>
      <c r="U2954" t="str">
        <f>"930812946"</f>
        <v>930812946</v>
      </c>
    </row>
    <row r="2955" spans="1:21" x14ac:dyDescent="0.3">
      <c r="A2955" t="str">
        <f>"440011732"</f>
        <v>440011732</v>
      </c>
      <c r="B2955" t="str">
        <f>"301 854 592 00021"</f>
        <v>301 854 592 00021</v>
      </c>
      <c r="D2955" t="str">
        <f>"CENTRE SOINS INFIRMIERS ROUGE"</f>
        <v>CENTRE SOINS INFIRMIERS ROUGE</v>
      </c>
      <c r="F2955" t="str">
        <f>"3 RUE MADELEINE BRES"</f>
        <v>3 RUE MADELEINE BRES</v>
      </c>
      <c r="H2955" t="str">
        <f>"44660"</f>
        <v>44660</v>
      </c>
      <c r="I2955" t="str">
        <f>"ROUGE"</f>
        <v>ROUGE</v>
      </c>
      <c r="J2955" t="str">
        <f>"02 40 28 70 13 "</f>
        <v xml:space="preserve">02 40 28 70 13 </v>
      </c>
      <c r="L2955" s="1">
        <v>27034</v>
      </c>
      <c r="M2955" t="str">
        <f t="shared" si="426"/>
        <v>124</v>
      </c>
      <c r="N2955" t="str">
        <f t="shared" si="427"/>
        <v>Centre de Santé</v>
      </c>
      <c r="O2955" t="str">
        <f>"60"</f>
        <v>60</v>
      </c>
      <c r="P2955" t="str">
        <f>"Association Loi 1901 non Reconnue d'Utilité Publique"</f>
        <v>Association Loi 1901 non Reconnue d'Utilité Publique</v>
      </c>
      <c r="Q2955" t="str">
        <f t="shared" si="422"/>
        <v>36</v>
      </c>
      <c r="R2955" t="str">
        <f t="shared" si="423"/>
        <v>Tarifs conventionnels assurance maladie</v>
      </c>
      <c r="U2955" t="str">
        <f>"440003929"</f>
        <v>440003929</v>
      </c>
    </row>
    <row r="2956" spans="1:21" x14ac:dyDescent="0.3">
      <c r="A2956" t="str">
        <f>"570003889"</f>
        <v>570003889</v>
      </c>
      <c r="B2956" t="str">
        <f>"775 685 316 00496"</f>
        <v>775 685 316 00496</v>
      </c>
      <c r="D2956" t="str">
        <f>"CSP FILIERIS DE FREYMING MERLEBACH"</f>
        <v>CSP FILIERIS DE FREYMING MERLEBACH</v>
      </c>
      <c r="F2956" t="str">
        <f>"15 RUE DE CARMAUX"</f>
        <v>15 RUE DE CARMAUX</v>
      </c>
      <c r="H2956" t="str">
        <f>"57801"</f>
        <v>57801</v>
      </c>
      <c r="I2956" t="str">
        <f>"FREYMING MERLEBACH CEDEX"</f>
        <v>FREYMING MERLEBACH CEDEX</v>
      </c>
      <c r="J2956" t="str">
        <f>"03 87 29 28 29 "</f>
        <v xml:space="preserve">03 87 29 28 29 </v>
      </c>
      <c r="K2956" t="str">
        <f>"03 87 04 57 37"</f>
        <v>03 87 04 57 37</v>
      </c>
      <c r="L2956" s="1">
        <v>27030</v>
      </c>
      <c r="M2956" t="str">
        <f t="shared" si="426"/>
        <v>124</v>
      </c>
      <c r="N2956" t="str">
        <f t="shared" si="427"/>
        <v>Centre de Santé</v>
      </c>
      <c r="O2956" t="str">
        <f>"41"</f>
        <v>41</v>
      </c>
      <c r="P2956" t="str">
        <f>"Régime Spécial de Sécurité Sociale"</f>
        <v>Régime Spécial de Sécurité Sociale</v>
      </c>
      <c r="Q2956" t="str">
        <f t="shared" si="422"/>
        <v>36</v>
      </c>
      <c r="R2956" t="str">
        <f t="shared" si="423"/>
        <v>Tarifs conventionnels assurance maladie</v>
      </c>
      <c r="U2956" t="str">
        <f>"750050759"</f>
        <v>750050759</v>
      </c>
    </row>
    <row r="2957" spans="1:21" x14ac:dyDescent="0.3">
      <c r="A2957" t="str">
        <f>"950800797"</f>
        <v>950800797</v>
      </c>
      <c r="B2957" t="str">
        <f>"552 016 628 00182"</f>
        <v>552 016 628 00182</v>
      </c>
      <c r="D2957" t="str">
        <f>"CENTRE DE SANTE MEDICAL"</f>
        <v>CENTRE DE SANTE MEDICAL</v>
      </c>
      <c r="E2957" t="str">
        <f>"AEROGARE 2F PORTE 17"</f>
        <v>AEROGARE 2F PORTE 17</v>
      </c>
      <c r="F2957" t="str">
        <f>""</f>
        <v/>
      </c>
      <c r="G2957" t="str">
        <f>"BP 81007"</f>
        <v>BP 81007</v>
      </c>
      <c r="H2957" t="str">
        <f>"95700"</f>
        <v>95700</v>
      </c>
      <c r="I2957" t="str">
        <f>"ROISSY EN FRANCE"</f>
        <v>ROISSY EN FRANCE</v>
      </c>
      <c r="J2957" t="str">
        <f>"01 48 62 28 03 "</f>
        <v xml:space="preserve">01 48 62 28 03 </v>
      </c>
      <c r="K2957" t="str">
        <f>"01 48 62 28 02"</f>
        <v>01 48 62 28 02</v>
      </c>
      <c r="L2957" s="1">
        <v>27030</v>
      </c>
      <c r="M2957" t="str">
        <f t="shared" si="426"/>
        <v>124</v>
      </c>
      <c r="N2957" t="str">
        <f t="shared" si="427"/>
        <v>Centre de Santé</v>
      </c>
      <c r="O2957" t="str">
        <f>"27"</f>
        <v>27</v>
      </c>
      <c r="P2957" t="str">
        <f>"Etablissement Public à Caractère Industriel ou Commercial"</f>
        <v>Etablissement Public à Caractère Industriel ou Commercial</v>
      </c>
      <c r="Q2957" t="str">
        <f t="shared" si="422"/>
        <v>36</v>
      </c>
      <c r="R2957" t="str">
        <f t="shared" si="423"/>
        <v>Tarifs conventionnels assurance maladie</v>
      </c>
      <c r="U2957" t="str">
        <f>"950000281"</f>
        <v>950000281</v>
      </c>
    </row>
    <row r="2958" spans="1:21" x14ac:dyDescent="0.3">
      <c r="A2958" t="str">
        <f>"870000262"</f>
        <v>870000262</v>
      </c>
      <c r="B2958" t="str">
        <f>"784 115 339 00110"</f>
        <v>784 115 339 00110</v>
      </c>
      <c r="D2958" t="str">
        <f>"CENTRE DE SOINS INFIRMIERS"</f>
        <v>CENTRE DE SOINS INFIRMIERS</v>
      </c>
      <c r="E2958" t="str">
        <f>"LE CASTEL MARIE"</f>
        <v>LE CASTEL MARIE</v>
      </c>
      <c r="F2958" t="str">
        <f>"43 RUE DE NEXON"</f>
        <v>43 RUE DE NEXON</v>
      </c>
      <c r="H2958" t="str">
        <f>"87000"</f>
        <v>87000</v>
      </c>
      <c r="I2958" t="str">
        <f>"LIMOGES"</f>
        <v>LIMOGES</v>
      </c>
      <c r="J2958" t="str">
        <f>"05 55 33 99 00 "</f>
        <v xml:space="preserve">05 55 33 99 00 </v>
      </c>
      <c r="L2958" s="1">
        <v>26970</v>
      </c>
      <c r="M2958" t="str">
        <f t="shared" si="426"/>
        <v>124</v>
      </c>
      <c r="N2958" t="str">
        <f t="shared" si="427"/>
        <v>Centre de Santé</v>
      </c>
      <c r="O2958" t="str">
        <f>"60"</f>
        <v>60</v>
      </c>
      <c r="P2958" t="str">
        <f>"Association Loi 1901 non Reconnue d'Utilité Publique"</f>
        <v>Association Loi 1901 non Reconnue d'Utilité Publique</v>
      </c>
      <c r="Q2958" t="str">
        <f t="shared" si="422"/>
        <v>36</v>
      </c>
      <c r="R2958" t="str">
        <f t="shared" si="423"/>
        <v>Tarifs conventionnels assurance maladie</v>
      </c>
      <c r="U2958" t="str">
        <f>"870000981"</f>
        <v>870000981</v>
      </c>
    </row>
    <row r="2959" spans="1:21" x14ac:dyDescent="0.3">
      <c r="A2959" t="str">
        <f>"160011888"</f>
        <v>160011888</v>
      </c>
      <c r="B2959" t="str">
        <f>"442 675 658 00102"</f>
        <v>442 675 658 00102</v>
      </c>
      <c r="D2959" t="str">
        <f>"CENTRE DE SANTE MNAM"</f>
        <v>CENTRE DE SANTE MNAM</v>
      </c>
      <c r="F2959" t="str">
        <f>"164 RUE MADAME CURIE"</f>
        <v>164 RUE MADAME CURIE</v>
      </c>
      <c r="H2959" t="str">
        <f>"16600"</f>
        <v>16600</v>
      </c>
      <c r="I2959" t="str">
        <f>"RUELLE SUR TOUVRE"</f>
        <v>RUELLE SUR TOUVRE</v>
      </c>
      <c r="J2959" t="str">
        <f>"05 45 65 65 00 "</f>
        <v xml:space="preserve">05 45 65 65 00 </v>
      </c>
      <c r="K2959" t="str">
        <f>"05 45 65 73 56"</f>
        <v>05 45 65 73 56</v>
      </c>
      <c r="L2959" s="1">
        <v>26952</v>
      </c>
      <c r="M2959" t="str">
        <f t="shared" si="426"/>
        <v>124</v>
      </c>
      <c r="N2959" t="str">
        <f t="shared" si="427"/>
        <v>Centre de Santé</v>
      </c>
      <c r="O2959" t="str">
        <f>"47"</f>
        <v>47</v>
      </c>
      <c r="P2959" t="str">
        <f>"Société Mutualiste"</f>
        <v>Société Mutualiste</v>
      </c>
      <c r="Q2959" t="str">
        <f t="shared" si="422"/>
        <v>36</v>
      </c>
      <c r="R2959" t="str">
        <f t="shared" si="423"/>
        <v>Tarifs conventionnels assurance maladie</v>
      </c>
      <c r="U2959" t="str">
        <f>"750827636"</f>
        <v>750827636</v>
      </c>
    </row>
    <row r="2960" spans="1:21" x14ac:dyDescent="0.3">
      <c r="A2960" t="str">
        <f>"870000387"</f>
        <v>870000387</v>
      </c>
      <c r="B2960" t="str">
        <f>"775 672 272 20965"</f>
        <v>775 672 272 20965</v>
      </c>
      <c r="D2960" t="str">
        <f>"CENTRE DE SOINS INFIRMIERS"</f>
        <v>CENTRE DE SOINS INFIRMIERS</v>
      </c>
      <c r="F2960" t="str">
        <f>"FAUBOURG DU PUY DU MOULIN"</f>
        <v>FAUBOURG DU PUY DU MOULIN</v>
      </c>
      <c r="H2960" t="str">
        <f>"87600"</f>
        <v>87600</v>
      </c>
      <c r="I2960" t="str">
        <f>"ROCHECHOUART"</f>
        <v>ROCHECHOUART</v>
      </c>
      <c r="J2960" t="str">
        <f>"05 55 03 60 68 "</f>
        <v xml:space="preserve">05 55 03 60 68 </v>
      </c>
      <c r="L2960" s="1">
        <v>26952</v>
      </c>
      <c r="M2960" t="str">
        <f t="shared" si="426"/>
        <v>124</v>
      </c>
      <c r="N2960" t="str">
        <f t="shared" si="427"/>
        <v>Centre de Santé</v>
      </c>
      <c r="O2960" t="str">
        <f>"61"</f>
        <v>61</v>
      </c>
      <c r="P2960" t="str">
        <f>"Association Loi 1901 Reconnue d'Utilité Publique"</f>
        <v>Association Loi 1901 Reconnue d'Utilité Publique</v>
      </c>
      <c r="Q2960" t="str">
        <f t="shared" si="422"/>
        <v>36</v>
      </c>
      <c r="R2960" t="str">
        <f t="shared" si="423"/>
        <v>Tarifs conventionnels assurance maladie</v>
      </c>
      <c r="U2960" t="str">
        <f>"750721334"</f>
        <v>750721334</v>
      </c>
    </row>
    <row r="2961" spans="1:21" x14ac:dyDescent="0.3">
      <c r="A2961" t="str">
        <f>"440011419"</f>
        <v>440011419</v>
      </c>
      <c r="B2961" t="str">
        <f>"310 472 121 00014"</f>
        <v>310 472 121 00014</v>
      </c>
      <c r="D2961" t="str">
        <f>"CENTRE DE SOINS INFIRMIERS ANCENIS"</f>
        <v>CENTRE DE SOINS INFIRMIERS ANCENIS</v>
      </c>
      <c r="F2961" t="str">
        <f>"330 BOULEVARD DR MOUTEL"</f>
        <v>330 BOULEVARD DR MOUTEL</v>
      </c>
      <c r="H2961" t="str">
        <f>"44150"</f>
        <v>44150</v>
      </c>
      <c r="I2961" t="str">
        <f>"ANCENIS ST GEREON"</f>
        <v>ANCENIS ST GEREON</v>
      </c>
      <c r="J2961" t="str">
        <f>"02 40 83 02 98 "</f>
        <v xml:space="preserve">02 40 83 02 98 </v>
      </c>
      <c r="K2961" t="str">
        <f>"02 51 14 09 96"</f>
        <v>02 51 14 09 96</v>
      </c>
      <c r="L2961" s="1">
        <v>26946</v>
      </c>
      <c r="M2961" t="str">
        <f t="shared" si="426"/>
        <v>124</v>
      </c>
      <c r="N2961" t="str">
        <f t="shared" si="427"/>
        <v>Centre de Santé</v>
      </c>
      <c r="O2961" t="str">
        <f>"60"</f>
        <v>60</v>
      </c>
      <c r="P2961" t="str">
        <f>"Association Loi 1901 non Reconnue d'Utilité Publique"</f>
        <v>Association Loi 1901 non Reconnue d'Utilité Publique</v>
      </c>
      <c r="Q2961" t="str">
        <f t="shared" si="422"/>
        <v>36</v>
      </c>
      <c r="R2961" t="str">
        <f t="shared" si="423"/>
        <v>Tarifs conventionnels assurance maladie</v>
      </c>
      <c r="U2961" t="str">
        <f>"440003499"</f>
        <v>440003499</v>
      </c>
    </row>
    <row r="2962" spans="1:21" x14ac:dyDescent="0.3">
      <c r="A2962" t="str">
        <f>"760781898"</f>
        <v>760781898</v>
      </c>
      <c r="B2962" t="str">
        <f>"794 994 277 01271"</f>
        <v>794 994 277 01271</v>
      </c>
      <c r="D2962" t="str">
        <f>"CLINIQUE DENTAIRE MUTUALISTE"</f>
        <v>CLINIQUE DENTAIRE MUTUALISTE</v>
      </c>
      <c r="F2962" t="str">
        <f>"22 AVENUE BRETAGNE"</f>
        <v>22 AVENUE BRETAGNE</v>
      </c>
      <c r="H2962" t="str">
        <f>"76100"</f>
        <v>76100</v>
      </c>
      <c r="I2962" t="str">
        <f>"ROUEN"</f>
        <v>ROUEN</v>
      </c>
      <c r="J2962" t="str">
        <f>"02 35 73 05 99 "</f>
        <v xml:space="preserve">02 35 73 05 99 </v>
      </c>
      <c r="L2962" s="1">
        <v>26938</v>
      </c>
      <c r="M2962" t="str">
        <f t="shared" si="426"/>
        <v>124</v>
      </c>
      <c r="N2962" t="str">
        <f t="shared" si="427"/>
        <v>Centre de Santé</v>
      </c>
      <c r="O2962" t="str">
        <f>"47"</f>
        <v>47</v>
      </c>
      <c r="P2962" t="str">
        <f>"Société Mutualiste"</f>
        <v>Société Mutualiste</v>
      </c>
      <c r="Q2962" t="str">
        <f t="shared" si="422"/>
        <v>36</v>
      </c>
      <c r="R2962" t="str">
        <f t="shared" si="423"/>
        <v>Tarifs conventionnels assurance maladie</v>
      </c>
      <c r="U2962" t="str">
        <f>"760000539"</f>
        <v>760000539</v>
      </c>
    </row>
    <row r="2963" spans="1:21" x14ac:dyDescent="0.3">
      <c r="A2963" t="str">
        <f>"370002172"</f>
        <v>370002172</v>
      </c>
      <c r="B2963" t="str">
        <f>"775 340 136 00016"</f>
        <v>775 340 136 00016</v>
      </c>
      <c r="D2963" t="str">
        <f>"CENTRE SOINS INFIRMIERS 'F. RASPAIL'"</f>
        <v>CENTRE SOINS INFIRMIERS 'F. RASPAIL'</v>
      </c>
      <c r="F2963" t="str">
        <f>"108 RUE DE BEAUJARDIN"</f>
        <v>108 RUE DE BEAUJARDIN</v>
      </c>
      <c r="H2963" t="str">
        <f>"37000"</f>
        <v>37000</v>
      </c>
      <c r="I2963" t="str">
        <f>"TOURS"</f>
        <v>TOURS</v>
      </c>
      <c r="J2963" t="str">
        <f>"02 47 64 72 42 "</f>
        <v xml:space="preserve">02 47 64 72 42 </v>
      </c>
      <c r="L2963" s="1">
        <v>26869</v>
      </c>
      <c r="M2963" t="str">
        <f t="shared" si="426"/>
        <v>124</v>
      </c>
      <c r="N2963" t="str">
        <f t="shared" si="427"/>
        <v>Centre de Santé</v>
      </c>
      <c r="O2963" t="str">
        <f>"60"</f>
        <v>60</v>
      </c>
      <c r="P2963" t="str">
        <f>"Association Loi 1901 non Reconnue d'Utilité Publique"</f>
        <v>Association Loi 1901 non Reconnue d'Utilité Publique</v>
      </c>
      <c r="Q2963" t="str">
        <f t="shared" si="422"/>
        <v>36</v>
      </c>
      <c r="R2963" t="str">
        <f t="shared" si="423"/>
        <v>Tarifs conventionnels assurance maladie</v>
      </c>
      <c r="U2963" t="str">
        <f>"370001018"</f>
        <v>370001018</v>
      </c>
    </row>
    <row r="2964" spans="1:21" x14ac:dyDescent="0.3">
      <c r="A2964" t="str">
        <f>"870000379"</f>
        <v>870000379</v>
      </c>
      <c r="B2964" t="str">
        <f>"200 100 436 00019"</f>
        <v>200 100 436 00019</v>
      </c>
      <c r="D2964" t="str">
        <f>"CENTRE DE SOINS INFIRMIERS"</f>
        <v>CENTRE DE SOINS INFIRMIERS</v>
      </c>
      <c r="F2964" t="str">
        <f>"2 RUE HENRI AUTEF"</f>
        <v>2 RUE HENRI AUTEF</v>
      </c>
      <c r="H2964" t="str">
        <f>"87290"</f>
        <v>87290</v>
      </c>
      <c r="I2964" t="str">
        <f>"CHATEAUPONSAC"</f>
        <v>CHATEAUPONSAC</v>
      </c>
      <c r="J2964" t="str">
        <f>"05 55 76 31 91 "</f>
        <v xml:space="preserve">05 55 76 31 91 </v>
      </c>
      <c r="L2964" s="1">
        <v>26798</v>
      </c>
      <c r="M2964" t="str">
        <f t="shared" si="426"/>
        <v>124</v>
      </c>
      <c r="N2964" t="str">
        <f t="shared" si="427"/>
        <v>Centre de Santé</v>
      </c>
      <c r="O2964" t="str">
        <f>"26"</f>
        <v>26</v>
      </c>
      <c r="P2964" t="str">
        <f>"Autre Etablissement Public à Caractère Administratif"</f>
        <v>Autre Etablissement Public à Caractère Administratif</v>
      </c>
      <c r="Q2964" t="str">
        <f t="shared" si="422"/>
        <v>36</v>
      </c>
      <c r="R2964" t="str">
        <f t="shared" si="423"/>
        <v>Tarifs conventionnels assurance maladie</v>
      </c>
      <c r="U2964" t="str">
        <f>"870019320"</f>
        <v>870019320</v>
      </c>
    </row>
    <row r="2965" spans="1:21" x14ac:dyDescent="0.3">
      <c r="A2965" t="str">
        <f>"510008311"</f>
        <v>510008311</v>
      </c>
      <c r="B2965" t="str">
        <f>"780 424 834 00015"</f>
        <v>780 424 834 00015</v>
      </c>
      <c r="D2965" t="str">
        <f>"CENTRE DE SOINS 3 FONTAINES"</f>
        <v>CENTRE DE SOINS 3 FONTAINES</v>
      </c>
      <c r="F2965" t="str">
        <f>"211 RUE PAUL V COUTURIER"</f>
        <v>211 RUE PAUL V COUTURIER</v>
      </c>
      <c r="H2965" t="str">
        <f>"51100"</f>
        <v>51100</v>
      </c>
      <c r="I2965" t="str">
        <f>"REIMS"</f>
        <v>REIMS</v>
      </c>
      <c r="J2965" t="str">
        <f>"03 26 87 40 75 "</f>
        <v xml:space="preserve">03 26 87 40 75 </v>
      </c>
      <c r="K2965" t="str">
        <f>"03 26 87 13 78"</f>
        <v>03 26 87 13 78</v>
      </c>
      <c r="L2965" s="1">
        <v>26763</v>
      </c>
      <c r="M2965" t="str">
        <f t="shared" si="426"/>
        <v>124</v>
      </c>
      <c r="N2965" t="str">
        <f t="shared" si="427"/>
        <v>Centre de Santé</v>
      </c>
      <c r="O2965" t="str">
        <f>"60"</f>
        <v>60</v>
      </c>
      <c r="P2965" t="str">
        <f>"Association Loi 1901 non Reconnue d'Utilité Publique"</f>
        <v>Association Loi 1901 non Reconnue d'Utilité Publique</v>
      </c>
      <c r="Q2965" t="str">
        <f t="shared" si="422"/>
        <v>36</v>
      </c>
      <c r="R2965" t="str">
        <f t="shared" si="423"/>
        <v>Tarifs conventionnels assurance maladie</v>
      </c>
      <c r="U2965" t="str">
        <f>"510003023"</f>
        <v>510003023</v>
      </c>
    </row>
    <row r="2966" spans="1:21" x14ac:dyDescent="0.3">
      <c r="A2966" t="str">
        <f>"580780369"</f>
        <v>580780369</v>
      </c>
      <c r="B2966" t="str">
        <f>"305 932 816 00039"</f>
        <v>305 932 816 00039</v>
      </c>
      <c r="D2966" t="str">
        <f>"CENTRE DE SOINS INFIRMIERS"</f>
        <v>CENTRE DE SOINS INFIRMIERS</v>
      </c>
      <c r="F2966" t="str">
        <f>"1 RUE DE LA CHAUSSADE"</f>
        <v>1 RUE DE LA CHAUSSADE</v>
      </c>
      <c r="H2966" t="str">
        <f>"58000"</f>
        <v>58000</v>
      </c>
      <c r="I2966" t="str">
        <f>"NEVERS"</f>
        <v>NEVERS</v>
      </c>
      <c r="J2966" t="str">
        <f>"03 86 59 23 16 "</f>
        <v xml:space="preserve">03 86 59 23 16 </v>
      </c>
      <c r="L2966" s="1">
        <v>26758</v>
      </c>
      <c r="M2966" t="str">
        <f t="shared" si="426"/>
        <v>124</v>
      </c>
      <c r="N2966" t="str">
        <f t="shared" si="427"/>
        <v>Centre de Santé</v>
      </c>
      <c r="O2966" t="str">
        <f>"60"</f>
        <v>60</v>
      </c>
      <c r="P2966" t="str">
        <f>"Association Loi 1901 non Reconnue d'Utilité Publique"</f>
        <v>Association Loi 1901 non Reconnue d'Utilité Publique</v>
      </c>
      <c r="Q2966" t="str">
        <f t="shared" si="422"/>
        <v>36</v>
      </c>
      <c r="R2966" t="str">
        <f t="shared" si="423"/>
        <v>Tarifs conventionnels assurance maladie</v>
      </c>
      <c r="U2966" t="str">
        <f>"580006385"</f>
        <v>580006385</v>
      </c>
    </row>
    <row r="2967" spans="1:21" x14ac:dyDescent="0.3">
      <c r="A2967" t="str">
        <f>"760781062"</f>
        <v>760781062</v>
      </c>
      <c r="B2967" t="str">
        <f>"794 994 277 01941"</f>
        <v>794 994 277 01941</v>
      </c>
      <c r="D2967" t="str">
        <f>"CLINIQUE DENTAIRE MUTUALISTE ELBEUF"</f>
        <v>CLINIQUE DENTAIRE MUTUALISTE ELBEUF</v>
      </c>
      <c r="F2967" t="str">
        <f>"41 RUE JEAN JAURES"</f>
        <v>41 RUE JEAN JAURES</v>
      </c>
      <c r="H2967" t="str">
        <f>"76500"</f>
        <v>76500</v>
      </c>
      <c r="I2967" t="str">
        <f>"ELBEUF"</f>
        <v>ELBEUF</v>
      </c>
      <c r="J2967" t="str">
        <f>"02 32 96 02 50 "</f>
        <v xml:space="preserve">02 32 96 02 50 </v>
      </c>
      <c r="K2967" t="str">
        <f>"02 32 96 02 59"</f>
        <v>02 32 96 02 59</v>
      </c>
      <c r="L2967" s="1">
        <v>26743</v>
      </c>
      <c r="M2967" t="str">
        <f t="shared" si="426"/>
        <v>124</v>
      </c>
      <c r="N2967" t="str">
        <f t="shared" si="427"/>
        <v>Centre de Santé</v>
      </c>
      <c r="O2967" t="str">
        <f>"47"</f>
        <v>47</v>
      </c>
      <c r="P2967" t="str">
        <f>"Société Mutualiste"</f>
        <v>Société Mutualiste</v>
      </c>
      <c r="Q2967" t="str">
        <f t="shared" si="422"/>
        <v>36</v>
      </c>
      <c r="R2967" t="str">
        <f t="shared" si="423"/>
        <v>Tarifs conventionnels assurance maladie</v>
      </c>
      <c r="U2967" t="str">
        <f>"760000539"</f>
        <v>760000539</v>
      </c>
    </row>
    <row r="2968" spans="1:21" x14ac:dyDescent="0.3">
      <c r="A2968" t="str">
        <f>"100000272"</f>
        <v>100000272</v>
      </c>
      <c r="B2968" t="str">
        <f>"329 689 822 00040"</f>
        <v>329 689 822 00040</v>
      </c>
      <c r="D2968" t="str">
        <f>"CENTRE DE SANTE CHAPELAIN"</f>
        <v>CENTRE DE SANTE CHAPELAIN</v>
      </c>
      <c r="F2968" t="str">
        <f>"42 AVENUE JEAN MOULIN"</f>
        <v>42 AVENUE JEAN MOULIN</v>
      </c>
      <c r="H2968" t="str">
        <f>"10600"</f>
        <v>10600</v>
      </c>
      <c r="I2968" t="str">
        <f>"LA CHAPELLE ST LUC"</f>
        <v>LA CHAPELLE ST LUC</v>
      </c>
      <c r="J2968" t="str">
        <f>"03 25 71 70 63 "</f>
        <v xml:space="preserve">03 25 71 70 63 </v>
      </c>
      <c r="L2968" s="1">
        <v>26728</v>
      </c>
      <c r="M2968" t="str">
        <f t="shared" si="426"/>
        <v>124</v>
      </c>
      <c r="N2968" t="str">
        <f t="shared" si="427"/>
        <v>Centre de Santé</v>
      </c>
      <c r="O2968" t="str">
        <f>"60"</f>
        <v>60</v>
      </c>
      <c r="P2968" t="str">
        <f>"Association Loi 1901 non Reconnue d'Utilité Publique"</f>
        <v>Association Loi 1901 non Reconnue d'Utilité Publique</v>
      </c>
      <c r="Q2968" t="str">
        <f t="shared" si="422"/>
        <v>36</v>
      </c>
      <c r="R2968" t="str">
        <f t="shared" si="423"/>
        <v>Tarifs conventionnels assurance maladie</v>
      </c>
      <c r="U2968" t="str">
        <f>"100000322"</f>
        <v>100000322</v>
      </c>
    </row>
    <row r="2969" spans="1:21" x14ac:dyDescent="0.3">
      <c r="A2969" t="str">
        <f>"930010731"</f>
        <v>930010731</v>
      </c>
      <c r="B2969" t="str">
        <f>"219 300 530 00280"</f>
        <v>219 300 530 00280</v>
      </c>
      <c r="D2969" t="str">
        <f>"CDS MEDICAL MUNICIPAL NOISY LE SEC"</f>
        <v>CDS MEDICAL MUNICIPAL NOISY LE SEC</v>
      </c>
      <c r="F2969" t="str">
        <f>"5 RUE PIERRE BROSSOLETTE"</f>
        <v>5 RUE PIERRE BROSSOLETTE</v>
      </c>
      <c r="H2969" t="str">
        <f>"93130"</f>
        <v>93130</v>
      </c>
      <c r="I2969" t="str">
        <f>"NOISY LE SEC"</f>
        <v>NOISY LE SEC</v>
      </c>
      <c r="J2969" t="str">
        <f>"01 49 15 90 15 "</f>
        <v xml:space="preserve">01 49 15 90 15 </v>
      </c>
      <c r="K2969" t="str">
        <f>"01 48 10 03 25"</f>
        <v>01 48 10 03 25</v>
      </c>
      <c r="L2969" s="1">
        <v>26693</v>
      </c>
      <c r="M2969" t="str">
        <f t="shared" si="426"/>
        <v>124</v>
      </c>
      <c r="N2969" t="str">
        <f t="shared" si="427"/>
        <v>Centre de Santé</v>
      </c>
      <c r="O2969" t="str">
        <f>"03"</f>
        <v>03</v>
      </c>
      <c r="P2969" t="str">
        <f>"Commune"</f>
        <v>Commune</v>
      </c>
      <c r="Q2969" t="str">
        <f t="shared" si="422"/>
        <v>36</v>
      </c>
      <c r="R2969" t="str">
        <f t="shared" si="423"/>
        <v>Tarifs conventionnels assurance maladie</v>
      </c>
      <c r="U2969" t="str">
        <f>"930813084"</f>
        <v>930813084</v>
      </c>
    </row>
    <row r="2970" spans="1:21" x14ac:dyDescent="0.3">
      <c r="A2970" t="str">
        <f>"750012338"</f>
        <v>750012338</v>
      </c>
      <c r="B2970" t="str">
        <f>"775 667 223 00025"</f>
        <v>775 667 223 00025</v>
      </c>
      <c r="D2970" t="str">
        <f>"CDS ADOS"</f>
        <v>CDS ADOS</v>
      </c>
      <c r="E2970" t="str">
        <f>"27-39"</f>
        <v>27-39</v>
      </c>
      <c r="F2970" t="str">
        <f>"27 RUE DE LA CONVENTION"</f>
        <v>27 RUE DE LA CONVENTION</v>
      </c>
      <c r="H2970" t="str">
        <f>"75015"</f>
        <v>75015</v>
      </c>
      <c r="I2970" t="str">
        <f>"PARIS"</f>
        <v>PARIS</v>
      </c>
      <c r="J2970" t="str">
        <f>"01 43 17 63 92 "</f>
        <v xml:space="preserve">01 43 17 63 92 </v>
      </c>
      <c r="K2970" t="str">
        <f>"01 43 17 65 08"</f>
        <v>01 43 17 65 08</v>
      </c>
      <c r="L2970" s="1">
        <v>26682</v>
      </c>
      <c r="M2970" t="str">
        <f t="shared" si="426"/>
        <v>124</v>
      </c>
      <c r="N2970" t="str">
        <f t="shared" si="427"/>
        <v>Centre de Santé</v>
      </c>
      <c r="O2970" t="str">
        <f>"60"</f>
        <v>60</v>
      </c>
      <c r="P2970" t="str">
        <f>"Association Loi 1901 non Reconnue d'Utilité Publique"</f>
        <v>Association Loi 1901 non Reconnue d'Utilité Publique</v>
      </c>
      <c r="Q2970" t="str">
        <f t="shared" si="422"/>
        <v>36</v>
      </c>
      <c r="R2970" t="str">
        <f t="shared" si="423"/>
        <v>Tarifs conventionnels assurance maladie</v>
      </c>
      <c r="U2970" t="str">
        <f>"750810277"</f>
        <v>750810277</v>
      </c>
    </row>
    <row r="2971" spans="1:21" x14ac:dyDescent="0.3">
      <c r="A2971" t="str">
        <f>"490538592"</f>
        <v>490538592</v>
      </c>
      <c r="B2971" t="str">
        <f>"775 685 316 02849"</f>
        <v>775 685 316 02849</v>
      </c>
      <c r="D2971" t="str">
        <f>"CSP FILIERIS DE TRELAZE"</f>
        <v>CSP FILIERIS DE TRELAZE</v>
      </c>
      <c r="F2971" t="str">
        <f>"251 RUE FERDINAND VEST"</f>
        <v>251 RUE FERDINAND VEST</v>
      </c>
      <c r="H2971" t="str">
        <f>"49130"</f>
        <v>49130</v>
      </c>
      <c r="I2971" t="str">
        <f>"LES PONTS DE CE"</f>
        <v>LES PONTS DE CE</v>
      </c>
      <c r="J2971" t="str">
        <f>"02 41 18 13 33 "</f>
        <v xml:space="preserve">02 41 18 13 33 </v>
      </c>
      <c r="L2971" s="1">
        <v>26679</v>
      </c>
      <c r="M2971" t="str">
        <f t="shared" si="426"/>
        <v>124</v>
      </c>
      <c r="N2971" t="str">
        <f t="shared" si="427"/>
        <v>Centre de Santé</v>
      </c>
      <c r="O2971" t="str">
        <f>"41"</f>
        <v>41</v>
      </c>
      <c r="P2971" t="str">
        <f>"Régime Spécial de Sécurité Sociale"</f>
        <v>Régime Spécial de Sécurité Sociale</v>
      </c>
      <c r="Q2971" t="str">
        <f t="shared" si="422"/>
        <v>36</v>
      </c>
      <c r="R2971" t="str">
        <f t="shared" si="423"/>
        <v>Tarifs conventionnels assurance maladie</v>
      </c>
      <c r="U2971" t="str">
        <f>"750050759"</f>
        <v>750050759</v>
      </c>
    </row>
    <row r="2972" spans="1:21" x14ac:dyDescent="0.3">
      <c r="A2972" t="str">
        <f>"940010176"</f>
        <v>940010176</v>
      </c>
      <c r="B2972" t="str">
        <f>"219 400 413 00346"</f>
        <v>219 400 413 00346</v>
      </c>
      <c r="D2972" t="str">
        <f>"CDS MUNICIPAL  F DEWERPE"</f>
        <v>CDS MUNICIPAL  F DEWERPE</v>
      </c>
      <c r="F2972" t="str">
        <f>"64 AVENUE GEORGES GOSNAT"</f>
        <v>64 AVENUE GEORGES GOSNAT</v>
      </c>
      <c r="H2972" t="str">
        <f>"94200"</f>
        <v>94200</v>
      </c>
      <c r="I2972" t="str">
        <f>"IVRY SUR SEINE"</f>
        <v>IVRY SUR SEINE</v>
      </c>
      <c r="J2972" t="str">
        <f>"01 43 90 20 00 "</f>
        <v xml:space="preserve">01 43 90 20 00 </v>
      </c>
      <c r="K2972" t="str">
        <f>"01 43 90 20 35"</f>
        <v>01 43 90 20 35</v>
      </c>
      <c r="L2972" s="1">
        <v>26665</v>
      </c>
      <c r="M2972" t="str">
        <f t="shared" si="426"/>
        <v>124</v>
      </c>
      <c r="N2972" t="str">
        <f t="shared" si="427"/>
        <v>Centre de Santé</v>
      </c>
      <c r="O2972" t="str">
        <f>"17"</f>
        <v>17</v>
      </c>
      <c r="P2972" t="str">
        <f>"Centre Communal d'Action Sociale"</f>
        <v>Centre Communal d'Action Sociale</v>
      </c>
      <c r="Q2972" t="str">
        <f t="shared" si="422"/>
        <v>36</v>
      </c>
      <c r="R2972" t="str">
        <f t="shared" si="423"/>
        <v>Tarifs conventionnels assurance maladie</v>
      </c>
      <c r="U2972" t="str">
        <f>"940806193"</f>
        <v>940806193</v>
      </c>
    </row>
    <row r="2973" spans="1:21" x14ac:dyDescent="0.3">
      <c r="A2973" t="str">
        <f>"930010715"</f>
        <v>930010715</v>
      </c>
      <c r="B2973" t="str">
        <f>"219 300 597 00198"</f>
        <v>219 300 597 00198</v>
      </c>
      <c r="D2973" t="str">
        <f>"CDS MUNICIPAL JEAN DOLIDIER"</f>
        <v>CDS MUNICIPAL JEAN DOLIDIER</v>
      </c>
      <c r="E2973" t="str">
        <f>"18-20"</f>
        <v>18-20</v>
      </c>
      <c r="F2973" t="str">
        <f>"18 RUE GUEROUX"</f>
        <v>18 RUE GUEROUX</v>
      </c>
      <c r="H2973" t="str">
        <f>"93380"</f>
        <v>93380</v>
      </c>
      <c r="I2973" t="str">
        <f>"PIERREFITTE SUR SEINE"</f>
        <v>PIERREFITTE SUR SEINE</v>
      </c>
      <c r="J2973" t="str">
        <f>"01 72 09 32 00 "</f>
        <v xml:space="preserve">01 72 09 32 00 </v>
      </c>
      <c r="K2973" t="str">
        <f>"01 72 09 32 09"</f>
        <v>01 72 09 32 09</v>
      </c>
      <c r="L2973" s="1">
        <v>26606</v>
      </c>
      <c r="M2973" t="str">
        <f t="shared" si="426"/>
        <v>124</v>
      </c>
      <c r="N2973" t="str">
        <f t="shared" si="427"/>
        <v>Centre de Santé</v>
      </c>
      <c r="O2973" t="str">
        <f>"03"</f>
        <v>03</v>
      </c>
      <c r="P2973" t="str">
        <f>"Commune"</f>
        <v>Commune</v>
      </c>
      <c r="Q2973" t="str">
        <f t="shared" si="422"/>
        <v>36</v>
      </c>
      <c r="R2973" t="str">
        <f t="shared" si="423"/>
        <v>Tarifs conventionnels assurance maladie</v>
      </c>
      <c r="U2973" t="str">
        <f>"930813118"</f>
        <v>930813118</v>
      </c>
    </row>
    <row r="2974" spans="1:21" x14ac:dyDescent="0.3">
      <c r="A2974" t="str">
        <f>"500002530"</f>
        <v>500002530</v>
      </c>
      <c r="B2974" t="str">
        <f>"775 672 272 08770"</f>
        <v>775 672 272 08770</v>
      </c>
      <c r="D2974" t="str">
        <f>"CENTRE DE SOINS INFIRMIERS-SARTILLY"</f>
        <v>CENTRE DE SOINS INFIRMIERS-SARTILLY</v>
      </c>
      <c r="F2974" t="str">
        <f>"7 RUE DES ECOLES"</f>
        <v>7 RUE DES ECOLES</v>
      </c>
      <c r="H2974" t="str">
        <f>"50530"</f>
        <v>50530</v>
      </c>
      <c r="I2974" t="str">
        <f>"SARTILLY BAIE BOCAGE"</f>
        <v>SARTILLY BAIE BOCAGE</v>
      </c>
      <c r="J2974" t="str">
        <f>"02 33 48 81 69 "</f>
        <v xml:space="preserve">02 33 48 81 69 </v>
      </c>
      <c r="L2974" s="1">
        <v>26604</v>
      </c>
      <c r="M2974" t="str">
        <f t="shared" si="426"/>
        <v>124</v>
      </c>
      <c r="N2974" t="str">
        <f t="shared" si="427"/>
        <v>Centre de Santé</v>
      </c>
      <c r="O2974" t="str">
        <f>"61"</f>
        <v>61</v>
      </c>
      <c r="P2974" t="str">
        <f>"Association Loi 1901 Reconnue d'Utilité Publique"</f>
        <v>Association Loi 1901 Reconnue d'Utilité Publique</v>
      </c>
      <c r="Q2974" t="str">
        <f t="shared" si="422"/>
        <v>36</v>
      </c>
      <c r="R2974" t="str">
        <f t="shared" si="423"/>
        <v>Tarifs conventionnels assurance maladie</v>
      </c>
      <c r="U2974" t="str">
        <f>"750721334"</f>
        <v>750721334</v>
      </c>
    </row>
    <row r="2975" spans="1:21" x14ac:dyDescent="0.3">
      <c r="A2975" t="str">
        <f>"940010366"</f>
        <v>940010366</v>
      </c>
      <c r="B2975" t="str">
        <f>"219 400 546 00277"</f>
        <v>219 400 546 00277</v>
      </c>
      <c r="D2975" t="str">
        <f>"CDS MEDICAL MUNICIPAL MELIES"</f>
        <v>CDS MEDICAL MUNICIPAL MELIES</v>
      </c>
      <c r="E2975" t="str">
        <f>"PARC GEORGES MELIES"</f>
        <v>PARC GEORGES MELIES</v>
      </c>
      <c r="F2975" t="str">
        <f>"RUE DE LA LIBERATION"</f>
        <v>RUE DE LA LIBERATION</v>
      </c>
      <c r="H2975" t="str">
        <f>"94310"</f>
        <v>94310</v>
      </c>
      <c r="I2975" t="str">
        <f>"ORLY"</f>
        <v>ORLY</v>
      </c>
      <c r="J2975" t="str">
        <f>"01 48 90 24 41 "</f>
        <v xml:space="preserve">01 48 90 24 41 </v>
      </c>
      <c r="K2975" t="str">
        <f>"01 48 92 91 09"</f>
        <v>01 48 92 91 09</v>
      </c>
      <c r="L2975" s="1">
        <v>26604</v>
      </c>
      <c r="M2975" t="str">
        <f t="shared" si="426"/>
        <v>124</v>
      </c>
      <c r="N2975" t="str">
        <f t="shared" si="427"/>
        <v>Centre de Santé</v>
      </c>
      <c r="O2975" t="str">
        <f>"03"</f>
        <v>03</v>
      </c>
      <c r="P2975" t="str">
        <f>"Commune"</f>
        <v>Commune</v>
      </c>
      <c r="Q2975" t="str">
        <f t="shared" si="422"/>
        <v>36</v>
      </c>
      <c r="R2975" t="str">
        <f t="shared" si="423"/>
        <v>Tarifs conventionnels assurance maladie</v>
      </c>
      <c r="U2975" t="str">
        <f>"940790249"</f>
        <v>940790249</v>
      </c>
    </row>
    <row r="2976" spans="1:21" x14ac:dyDescent="0.3">
      <c r="A2976" t="str">
        <f>"420781205"</f>
        <v>420781205</v>
      </c>
      <c r="B2976" t="str">
        <f>"776 355 695 00045"</f>
        <v>776 355 695 00045</v>
      </c>
      <c r="D2976" t="str">
        <f>"CENTRE DE SANTE ELEA SAINT-CHAMOND"</f>
        <v>CENTRE DE SANTE ELEA SAINT-CHAMOND</v>
      </c>
      <c r="F2976" t="str">
        <f>"17 BOULEVARD WALDECK ROUSSEAU"</f>
        <v>17 BOULEVARD WALDECK ROUSSEAU</v>
      </c>
      <c r="H2976" t="str">
        <f>"42400"</f>
        <v>42400</v>
      </c>
      <c r="I2976" t="str">
        <f>"ST CHAMOND"</f>
        <v>ST CHAMOND</v>
      </c>
      <c r="J2976" t="str">
        <f>"04 77 29 23 00 "</f>
        <v xml:space="preserve">04 77 29 23 00 </v>
      </c>
      <c r="K2976" t="str">
        <f>"04 77 29 23 09"</f>
        <v>04 77 29 23 09</v>
      </c>
      <c r="L2976" s="1">
        <v>26359</v>
      </c>
      <c r="M2976" t="str">
        <f t="shared" si="426"/>
        <v>124</v>
      </c>
      <c r="N2976" t="str">
        <f t="shared" si="427"/>
        <v>Centre de Santé</v>
      </c>
      <c r="O2976" t="str">
        <f>"60"</f>
        <v>60</v>
      </c>
      <c r="P2976" t="str">
        <f>"Association Loi 1901 non Reconnue d'Utilité Publique"</f>
        <v>Association Loi 1901 non Reconnue d'Utilité Publique</v>
      </c>
      <c r="Q2976" t="str">
        <f t="shared" si="422"/>
        <v>36</v>
      </c>
      <c r="R2976" t="str">
        <f t="shared" si="423"/>
        <v>Tarifs conventionnels assurance maladie</v>
      </c>
      <c r="U2976" t="str">
        <f>"420000465"</f>
        <v>420000465</v>
      </c>
    </row>
    <row r="2977" spans="1:21" x14ac:dyDescent="0.3">
      <c r="A2977" t="str">
        <f>"750012304"</f>
        <v>750012304</v>
      </c>
      <c r="B2977" t="str">
        <f>"784 615 445 00011"</f>
        <v>784 615 445 00011</v>
      </c>
      <c r="D2977" t="str">
        <f>"CDS MEDICAL ST JACQUES"</f>
        <v>CDS MEDICAL ST JACQUES</v>
      </c>
      <c r="F2977" t="str">
        <f>"37 RUE DES VOLONTAIRES"</f>
        <v>37 RUE DES VOLONTAIRES</v>
      </c>
      <c r="H2977" t="str">
        <f>"75730"</f>
        <v>75730</v>
      </c>
      <c r="I2977" t="str">
        <f>"PARIS CEDEX 15"</f>
        <v>PARIS CEDEX 15</v>
      </c>
      <c r="J2977" t="str">
        <f>"01 53 58 40 60 "</f>
        <v xml:space="preserve">01 53 58 40 60 </v>
      </c>
      <c r="K2977" t="str">
        <f>"01 53 58 40 70"</f>
        <v>01 53 58 40 70</v>
      </c>
      <c r="L2977" s="1">
        <v>26310</v>
      </c>
      <c r="M2977" t="str">
        <f t="shared" si="426"/>
        <v>124</v>
      </c>
      <c r="N2977" t="str">
        <f t="shared" si="427"/>
        <v>Centre de Santé</v>
      </c>
      <c r="O2977" t="str">
        <f>"61"</f>
        <v>61</v>
      </c>
      <c r="P2977" t="str">
        <f>"Association Loi 1901 Reconnue d'Utilité Publique"</f>
        <v>Association Loi 1901 Reconnue d'Utilité Publique</v>
      </c>
      <c r="Q2977" t="str">
        <f t="shared" si="422"/>
        <v>36</v>
      </c>
      <c r="R2977" t="str">
        <f t="shared" si="423"/>
        <v>Tarifs conventionnels assurance maladie</v>
      </c>
      <c r="U2977" t="str">
        <f>"750000556"</f>
        <v>750000556</v>
      </c>
    </row>
    <row r="2978" spans="1:21" x14ac:dyDescent="0.3">
      <c r="A2978" t="str">
        <f>"120783162"</f>
        <v>120783162</v>
      </c>
      <c r="B2978" t="str">
        <f>"776 716 631 00028"</f>
        <v>776 716 631 00028</v>
      </c>
      <c r="D2978" t="str">
        <f>"CENTRE DE SOINS INFIRMIERS"</f>
        <v>CENTRE DE SOINS INFIRMIERS</v>
      </c>
      <c r="F2978" t="str">
        <f>"2 AVENUE GUSTAVE BESSIERE"</f>
        <v>2 AVENUE GUSTAVE BESSIERE</v>
      </c>
      <c r="H2978" t="str">
        <f>"12330"</f>
        <v>12330</v>
      </c>
      <c r="I2978" t="str">
        <f>"MARCILLAC VALLON"</f>
        <v>MARCILLAC VALLON</v>
      </c>
      <c r="J2978" t="str">
        <f>"05 65 71 80 76 "</f>
        <v xml:space="preserve">05 65 71 80 76 </v>
      </c>
      <c r="L2978" s="1">
        <v>26284</v>
      </c>
      <c r="M2978" t="str">
        <f t="shared" si="426"/>
        <v>124</v>
      </c>
      <c r="N2978" t="str">
        <f t="shared" si="427"/>
        <v>Centre de Santé</v>
      </c>
      <c r="O2978" t="str">
        <f>"60"</f>
        <v>60</v>
      </c>
      <c r="P2978" t="str">
        <f>"Association Loi 1901 non Reconnue d'Utilité Publique"</f>
        <v>Association Loi 1901 non Reconnue d'Utilité Publique</v>
      </c>
      <c r="Q2978" t="str">
        <f t="shared" si="422"/>
        <v>36</v>
      </c>
      <c r="R2978" t="str">
        <f t="shared" si="423"/>
        <v>Tarifs conventionnels assurance maladie</v>
      </c>
      <c r="U2978" t="str">
        <f>"120780705"</f>
        <v>120780705</v>
      </c>
    </row>
    <row r="2979" spans="1:21" x14ac:dyDescent="0.3">
      <c r="A2979" t="str">
        <f>"870000239"</f>
        <v>870000239</v>
      </c>
      <c r="B2979" t="str">
        <f>"775 672 272 07855"</f>
        <v>775 672 272 07855</v>
      </c>
      <c r="D2979" t="str">
        <f>"CENTRE DE SOINS INFIRMIERS"</f>
        <v>CENTRE DE SOINS INFIRMIERS</v>
      </c>
      <c r="F2979" t="str">
        <f>""</f>
        <v/>
      </c>
      <c r="G2979" t="str">
        <f>"LA CROIX DE MURET"</f>
        <v>LA CROIX DE MURET</v>
      </c>
      <c r="H2979" t="str">
        <f>"87240"</f>
        <v>87240</v>
      </c>
      <c r="I2979" t="str">
        <f>"AMBAZAC"</f>
        <v>AMBAZAC</v>
      </c>
      <c r="J2979" t="str">
        <f>"05 55 56 62 42 "</f>
        <v xml:space="preserve">05 55 56 62 42 </v>
      </c>
      <c r="L2979" s="1">
        <v>26239</v>
      </c>
      <c r="M2979" t="str">
        <f t="shared" si="426"/>
        <v>124</v>
      </c>
      <c r="N2979" t="str">
        <f t="shared" si="427"/>
        <v>Centre de Santé</v>
      </c>
      <c r="O2979" t="str">
        <f>"61"</f>
        <v>61</v>
      </c>
      <c r="P2979" t="str">
        <f>"Association Loi 1901 Reconnue d'Utilité Publique"</f>
        <v>Association Loi 1901 Reconnue d'Utilité Publique</v>
      </c>
      <c r="Q2979" t="str">
        <f t="shared" si="422"/>
        <v>36</v>
      </c>
      <c r="R2979" t="str">
        <f t="shared" si="423"/>
        <v>Tarifs conventionnels assurance maladie</v>
      </c>
      <c r="U2979" t="str">
        <f>"750721334"</f>
        <v>750721334</v>
      </c>
    </row>
    <row r="2980" spans="1:21" x14ac:dyDescent="0.3">
      <c r="A2980" t="str">
        <f>"870000395"</f>
        <v>870000395</v>
      </c>
      <c r="B2980" t="str">
        <f>"775 672 272 15395"</f>
        <v>775 672 272 15395</v>
      </c>
      <c r="D2980" t="str">
        <f>"CENTRE DE SOINS INFIRMIERS"</f>
        <v>CENTRE DE SOINS INFIRMIERS</v>
      </c>
      <c r="E2980" t="str">
        <f>"CROIX ROUGE FRANCAISE"</f>
        <v>CROIX ROUGE FRANCAISE</v>
      </c>
      <c r="F2980" t="str">
        <f>"4 RUE CHAMPLAIN"</f>
        <v>4 RUE CHAMPLAIN</v>
      </c>
      <c r="H2980" t="str">
        <f>"87800"</f>
        <v>87800</v>
      </c>
      <c r="I2980" t="str">
        <f>"NEXON"</f>
        <v>NEXON</v>
      </c>
      <c r="J2980" t="str">
        <f>"05 55 58 10 87 "</f>
        <v xml:space="preserve">05 55 58 10 87 </v>
      </c>
      <c r="L2980" s="1">
        <v>26146</v>
      </c>
      <c r="M2980" t="str">
        <f t="shared" si="426"/>
        <v>124</v>
      </c>
      <c r="N2980" t="str">
        <f t="shared" si="427"/>
        <v>Centre de Santé</v>
      </c>
      <c r="O2980" t="str">
        <f>"61"</f>
        <v>61</v>
      </c>
      <c r="P2980" t="str">
        <f>"Association Loi 1901 Reconnue d'Utilité Publique"</f>
        <v>Association Loi 1901 Reconnue d'Utilité Publique</v>
      </c>
      <c r="Q2980" t="str">
        <f t="shared" si="422"/>
        <v>36</v>
      </c>
      <c r="R2980" t="str">
        <f t="shared" si="423"/>
        <v>Tarifs conventionnels assurance maladie</v>
      </c>
      <c r="U2980" t="str">
        <f>"750721334"</f>
        <v>750721334</v>
      </c>
    </row>
    <row r="2981" spans="1:21" x14ac:dyDescent="0.3">
      <c r="A2981" t="str">
        <f>"040003816"</f>
        <v>040003816</v>
      </c>
      <c r="D2981" t="str">
        <f>"CDS MANOSQUE"</f>
        <v>CDS MANOSQUE</v>
      </c>
      <c r="F2981" t="str">
        <f>"AVENUE MAJORAL ARNAUD PARC LUQUECE"</f>
        <v>AVENUE MAJORAL ARNAUD PARC LUQUECE</v>
      </c>
      <c r="H2981" t="str">
        <f>"04102"</f>
        <v>04102</v>
      </c>
      <c r="I2981" t="str">
        <f>"MANOSQUE CEDEX"</f>
        <v>MANOSQUE CEDEX</v>
      </c>
      <c r="J2981" t="str">
        <f>"04 92 70 58 80 "</f>
        <v xml:space="preserve">04 92 70 58 80 </v>
      </c>
      <c r="K2981" t="str">
        <f>"04 92 87 32 56"</f>
        <v>04 92 87 32 56</v>
      </c>
      <c r="L2981" s="1">
        <v>26086</v>
      </c>
      <c r="M2981" t="str">
        <f t="shared" si="426"/>
        <v>124</v>
      </c>
      <c r="N2981" t="str">
        <f t="shared" si="427"/>
        <v>Centre de Santé</v>
      </c>
      <c r="O2981" t="str">
        <f>"47"</f>
        <v>47</v>
      </c>
      <c r="P2981" t="str">
        <f>"Société Mutualiste"</f>
        <v>Société Mutualiste</v>
      </c>
      <c r="Q2981" t="str">
        <f t="shared" si="422"/>
        <v>36</v>
      </c>
      <c r="R2981" t="str">
        <f t="shared" si="423"/>
        <v>Tarifs conventionnels assurance maladie</v>
      </c>
      <c r="U2981" t="str">
        <f>"690048111"</f>
        <v>690048111</v>
      </c>
    </row>
    <row r="2982" spans="1:21" x14ac:dyDescent="0.3">
      <c r="A2982" t="str">
        <f>"030781298"</f>
        <v>030781298</v>
      </c>
      <c r="B2982" t="str">
        <f>"384 432 407 00029"</f>
        <v>384 432 407 00029</v>
      </c>
      <c r="D2982" t="str">
        <f>"CENTRE DE SOINS INFIRMIERS"</f>
        <v>CENTRE DE SOINS INFIRMIERS</v>
      </c>
      <c r="E2982" t="str">
        <f>"ANNEXE CENTRE SOINS VICHY"</f>
        <v>ANNEXE CENTRE SOINS VICHY</v>
      </c>
      <c r="F2982" t="str">
        <f>"13 COURS LAFAYETTE"</f>
        <v>13 COURS LAFAYETTE</v>
      </c>
      <c r="H2982" t="str">
        <f>"03300"</f>
        <v>03300</v>
      </c>
      <c r="I2982" t="str">
        <f>"CUSSET"</f>
        <v>CUSSET</v>
      </c>
      <c r="J2982" t="str">
        <f>"04 70 98 81 16 "</f>
        <v xml:space="preserve">04 70 98 81 16 </v>
      </c>
      <c r="K2982" t="str">
        <f>"04 70 97 61 87"</f>
        <v>04 70 97 61 87</v>
      </c>
      <c r="L2982" s="1">
        <v>26054</v>
      </c>
      <c r="M2982" t="str">
        <f t="shared" si="426"/>
        <v>124</v>
      </c>
      <c r="N2982" t="str">
        <f t="shared" si="427"/>
        <v>Centre de Santé</v>
      </c>
      <c r="O2982" t="str">
        <f>"61"</f>
        <v>61</v>
      </c>
      <c r="P2982" t="str">
        <f>"Association Loi 1901 Reconnue d'Utilité Publique"</f>
        <v>Association Loi 1901 Reconnue d'Utilité Publique</v>
      </c>
      <c r="Q2982" t="str">
        <f t="shared" si="422"/>
        <v>36</v>
      </c>
      <c r="R2982" t="str">
        <f t="shared" si="423"/>
        <v>Tarifs conventionnels assurance maladie</v>
      </c>
      <c r="U2982" t="str">
        <f>"030786347"</f>
        <v>030786347</v>
      </c>
    </row>
    <row r="2983" spans="1:21" x14ac:dyDescent="0.3">
      <c r="A2983" t="str">
        <f>"140017138"</f>
        <v>140017138</v>
      </c>
      <c r="B2983" t="str">
        <f>"261 400 303 00036"</f>
        <v>261 400 303 00036</v>
      </c>
      <c r="D2983" t="str">
        <f>"CENTRE MEDICO-SOCIAL - DIVES/MER"</f>
        <v>CENTRE MEDICO-SOCIAL - DIVES/MER</v>
      </c>
      <c r="F2983" t="str">
        <f>"2 AVENUE DES RESISTANTS"</f>
        <v>2 AVENUE DES RESISTANTS</v>
      </c>
      <c r="H2983" t="str">
        <f>"14160"</f>
        <v>14160</v>
      </c>
      <c r="I2983" t="str">
        <f>"DIVES SUR MER"</f>
        <v>DIVES SUR MER</v>
      </c>
      <c r="J2983" t="str">
        <f>"02 31 28 11 50 "</f>
        <v xml:space="preserve">02 31 28 11 50 </v>
      </c>
      <c r="L2983" s="1">
        <v>26007</v>
      </c>
      <c r="M2983" t="str">
        <f t="shared" si="426"/>
        <v>124</v>
      </c>
      <c r="N2983" t="str">
        <f t="shared" si="427"/>
        <v>Centre de Santé</v>
      </c>
      <c r="O2983" t="str">
        <f>"17"</f>
        <v>17</v>
      </c>
      <c r="P2983" t="str">
        <f>"Centre Communal d'Action Sociale"</f>
        <v>Centre Communal d'Action Sociale</v>
      </c>
      <c r="Q2983" t="str">
        <f t="shared" ref="Q2983:Q3046" si="428">"36"</f>
        <v>36</v>
      </c>
      <c r="R2983" t="str">
        <f t="shared" ref="R2983:R3046" si="429">"Tarifs conventionnels assurance maladie"</f>
        <v>Tarifs conventionnels assurance maladie</v>
      </c>
      <c r="U2983" t="str">
        <f>"140008434"</f>
        <v>140008434</v>
      </c>
    </row>
    <row r="2984" spans="1:21" x14ac:dyDescent="0.3">
      <c r="A2984" t="str">
        <f>"590780672"</f>
        <v>590780672</v>
      </c>
      <c r="B2984" t="str">
        <f>"783 647 571 00034"</f>
        <v>783 647 571 00034</v>
      </c>
      <c r="D2984" t="str">
        <f>"CSP PAUL CLERMONT HELLEMMES"</f>
        <v>CSP PAUL CLERMONT HELLEMMES</v>
      </c>
      <c r="F2984" t="str">
        <f>"6 RUE ROGER SALENGRO"</f>
        <v>6 RUE ROGER SALENGRO</v>
      </c>
      <c r="G2984" t="str">
        <f>"(HELLEMMES)"</f>
        <v>(HELLEMMES)</v>
      </c>
      <c r="H2984" t="str">
        <f>"59260"</f>
        <v>59260</v>
      </c>
      <c r="I2984" t="str">
        <f>"LILLE"</f>
        <v>LILLE</v>
      </c>
      <c r="J2984" t="str">
        <f>"03 20 56 82 69 "</f>
        <v xml:space="preserve">03 20 56 82 69 </v>
      </c>
      <c r="K2984" t="str">
        <f>"03 20 56 82 69"</f>
        <v>03 20 56 82 69</v>
      </c>
      <c r="L2984" s="1">
        <v>25965</v>
      </c>
      <c r="M2984" t="str">
        <f t="shared" si="426"/>
        <v>124</v>
      </c>
      <c r="N2984" t="str">
        <f t="shared" si="427"/>
        <v>Centre de Santé</v>
      </c>
      <c r="O2984" t="str">
        <f>"60"</f>
        <v>60</v>
      </c>
      <c r="P2984" t="str">
        <f>"Association Loi 1901 non Reconnue d'Utilité Publique"</f>
        <v>Association Loi 1901 non Reconnue d'Utilité Publique</v>
      </c>
      <c r="Q2984" t="str">
        <f t="shared" si="428"/>
        <v>36</v>
      </c>
      <c r="R2984" t="str">
        <f t="shared" si="429"/>
        <v>Tarifs conventionnels assurance maladie</v>
      </c>
      <c r="U2984" t="str">
        <f>"590000238"</f>
        <v>590000238</v>
      </c>
    </row>
    <row r="2985" spans="1:21" x14ac:dyDescent="0.3">
      <c r="A2985" t="str">
        <f>"510000722"</f>
        <v>510000722</v>
      </c>
      <c r="B2985" t="str">
        <f>"780 424 826 00037"</f>
        <v>780 424 826 00037</v>
      </c>
      <c r="D2985" t="str">
        <f>"CENTRE DE SOINS ORGEVAL"</f>
        <v>CENTRE DE SOINS ORGEVAL</v>
      </c>
      <c r="E2985" t="str">
        <f>"ORGEVAL"</f>
        <v>ORGEVAL</v>
      </c>
      <c r="F2985" t="str">
        <f>"14 RUE DU MARECHAL GALLIENI"</f>
        <v>14 RUE DU MARECHAL GALLIENI</v>
      </c>
      <c r="H2985" t="str">
        <f>"51100"</f>
        <v>51100</v>
      </c>
      <c r="I2985" t="str">
        <f>"REIMS"</f>
        <v>REIMS</v>
      </c>
      <c r="J2985" t="str">
        <f>"03 26 87 02 84 "</f>
        <v xml:space="preserve">03 26 87 02 84 </v>
      </c>
      <c r="K2985" t="str">
        <f>"03 26 09 23 38"</f>
        <v>03 26 09 23 38</v>
      </c>
      <c r="L2985" s="1">
        <v>25873</v>
      </c>
      <c r="M2985" t="str">
        <f t="shared" si="426"/>
        <v>124</v>
      </c>
      <c r="N2985" t="str">
        <f t="shared" si="427"/>
        <v>Centre de Santé</v>
      </c>
      <c r="O2985" t="str">
        <f>"60"</f>
        <v>60</v>
      </c>
      <c r="P2985" t="str">
        <f>"Association Loi 1901 non Reconnue d'Utilité Publique"</f>
        <v>Association Loi 1901 non Reconnue d'Utilité Publique</v>
      </c>
      <c r="Q2985" t="str">
        <f t="shared" si="428"/>
        <v>36</v>
      </c>
      <c r="R2985" t="str">
        <f t="shared" si="429"/>
        <v>Tarifs conventionnels assurance maladie</v>
      </c>
      <c r="U2985" t="str">
        <f>"510000730"</f>
        <v>510000730</v>
      </c>
    </row>
    <row r="2986" spans="1:21" x14ac:dyDescent="0.3">
      <c r="A2986" t="str">
        <f>"870003241"</f>
        <v>870003241</v>
      </c>
      <c r="B2986" t="str">
        <f>"775 672 272 10958"</f>
        <v>775 672 272 10958</v>
      </c>
      <c r="D2986" t="str">
        <f>"CENTRE DE SOINS INFIRMIERS"</f>
        <v>CENTRE DE SOINS INFIRMIERS</v>
      </c>
      <c r="E2986" t="str">
        <f>"ANTENNE DE SOLIGNAC"</f>
        <v>ANTENNE DE SOLIGNAC</v>
      </c>
      <c r="F2986" t="str">
        <f>"2 ROUTE DE SAINT JEAN LIGOURE"</f>
        <v>2 ROUTE DE SAINT JEAN LIGOURE</v>
      </c>
      <c r="H2986" t="str">
        <f>"87260"</f>
        <v>87260</v>
      </c>
      <c r="I2986" t="str">
        <f>"PIERRE BUFFIERE"</f>
        <v>PIERRE BUFFIERE</v>
      </c>
      <c r="J2986" t="str">
        <f>"05 55 00 62 09 "</f>
        <v xml:space="preserve">05 55 00 62 09 </v>
      </c>
      <c r="L2986" s="1">
        <v>25842</v>
      </c>
      <c r="M2986" t="str">
        <f t="shared" si="426"/>
        <v>124</v>
      </c>
      <c r="N2986" t="str">
        <f t="shared" si="427"/>
        <v>Centre de Santé</v>
      </c>
      <c r="O2986" t="str">
        <f>"61"</f>
        <v>61</v>
      </c>
      <c r="P2986" t="str">
        <f>"Association Loi 1901 Reconnue d'Utilité Publique"</f>
        <v>Association Loi 1901 Reconnue d'Utilité Publique</v>
      </c>
      <c r="Q2986" t="str">
        <f t="shared" si="428"/>
        <v>36</v>
      </c>
      <c r="R2986" t="str">
        <f t="shared" si="429"/>
        <v>Tarifs conventionnels assurance maladie</v>
      </c>
      <c r="U2986" t="str">
        <f>"750721334"</f>
        <v>750721334</v>
      </c>
    </row>
    <row r="2987" spans="1:21" x14ac:dyDescent="0.3">
      <c r="A2987" t="str">
        <f>"590791521"</f>
        <v>590791521</v>
      </c>
      <c r="B2987" t="str">
        <f>"349 224 568 00031"</f>
        <v>349 224 568 00031</v>
      </c>
      <c r="D2987" t="str">
        <f>"CENTRE DE SANTÉ INFIRMIER  BEAULIEU"</f>
        <v>CENTRE DE SANTÉ INFIRMIER  BEAULIEU</v>
      </c>
      <c r="F2987" t="str">
        <f>"82 RUE LEON BLUM"</f>
        <v>82 RUE LEON BLUM</v>
      </c>
      <c r="H2987" t="str">
        <f>"59150"</f>
        <v>59150</v>
      </c>
      <c r="I2987" t="str">
        <f>"WATTRELOS"</f>
        <v>WATTRELOS</v>
      </c>
      <c r="J2987" t="str">
        <f>"03 20 80 62 03 "</f>
        <v xml:space="preserve">03 20 80 62 03 </v>
      </c>
      <c r="L2987" s="1">
        <v>25833</v>
      </c>
      <c r="M2987" t="str">
        <f t="shared" si="426"/>
        <v>124</v>
      </c>
      <c r="N2987" t="str">
        <f t="shared" si="427"/>
        <v>Centre de Santé</v>
      </c>
      <c r="O2987" t="str">
        <f>"60"</f>
        <v>60</v>
      </c>
      <c r="P2987" t="str">
        <f>"Association Loi 1901 non Reconnue d'Utilité Publique"</f>
        <v>Association Loi 1901 non Reconnue d'Utilité Publique</v>
      </c>
      <c r="Q2987" t="str">
        <f t="shared" si="428"/>
        <v>36</v>
      </c>
      <c r="R2987" t="str">
        <f t="shared" si="429"/>
        <v>Tarifs conventionnels assurance maladie</v>
      </c>
      <c r="U2987" t="str">
        <f>"590810479"</f>
        <v>590810479</v>
      </c>
    </row>
    <row r="2988" spans="1:21" x14ac:dyDescent="0.3">
      <c r="A2988" t="str">
        <f>"590791620"</f>
        <v>590791620</v>
      </c>
      <c r="B2988" t="str">
        <f>"349 224 568 00056"</f>
        <v>349 224 568 00056</v>
      </c>
      <c r="D2988" t="str">
        <f>"CENTRE MOUSSERIE-MARTINOIRE"</f>
        <v>CENTRE MOUSSERIE-MARTINOIRE</v>
      </c>
      <c r="E2988" t="str">
        <f>"CTRE SOCIAL DE LA MOUSSERIE"</f>
        <v>CTRE SOCIAL DE LA MOUSSERIE</v>
      </c>
      <c r="F2988" t="str">
        <f>"1 ALLEE CHOPIN"</f>
        <v>1 ALLEE CHOPIN</v>
      </c>
      <c r="H2988" t="str">
        <f>"59150"</f>
        <v>59150</v>
      </c>
      <c r="I2988" t="str">
        <f>"WATTRELOS"</f>
        <v>WATTRELOS</v>
      </c>
      <c r="J2988" t="str">
        <f>"03 20 80 62 03 "</f>
        <v xml:space="preserve">03 20 80 62 03 </v>
      </c>
      <c r="L2988" s="1">
        <v>25833</v>
      </c>
      <c r="M2988" t="str">
        <f t="shared" si="426"/>
        <v>124</v>
      </c>
      <c r="N2988" t="str">
        <f t="shared" si="427"/>
        <v>Centre de Santé</v>
      </c>
      <c r="O2988" t="str">
        <f>"60"</f>
        <v>60</v>
      </c>
      <c r="P2988" t="str">
        <f>"Association Loi 1901 non Reconnue d'Utilité Publique"</f>
        <v>Association Loi 1901 non Reconnue d'Utilité Publique</v>
      </c>
      <c r="Q2988" t="str">
        <f t="shared" si="428"/>
        <v>36</v>
      </c>
      <c r="R2988" t="str">
        <f t="shared" si="429"/>
        <v>Tarifs conventionnels assurance maladie</v>
      </c>
      <c r="U2988" t="str">
        <f>"590810479"</f>
        <v>590810479</v>
      </c>
    </row>
    <row r="2989" spans="1:21" x14ac:dyDescent="0.3">
      <c r="A2989" t="str">
        <f>"640792768"</f>
        <v>640792768</v>
      </c>
      <c r="B2989" t="str">
        <f>"775 685 316 00868"</f>
        <v>775 685 316 00868</v>
      </c>
      <c r="D2989" t="str">
        <f>"CPS FILIERIS DE PAU"</f>
        <v>CPS FILIERIS DE PAU</v>
      </c>
      <c r="F2989" t="str">
        <f>"52 AVENUE TRESPOEY"</f>
        <v>52 AVENUE TRESPOEY</v>
      </c>
      <c r="H2989" t="str">
        <f>"64000"</f>
        <v>64000</v>
      </c>
      <c r="I2989" t="str">
        <f>"PAU"</f>
        <v>PAU</v>
      </c>
      <c r="J2989" t="str">
        <f>"05 59 30 20 67 "</f>
        <v xml:space="preserve">05 59 30 20 67 </v>
      </c>
      <c r="K2989" t="str">
        <f>"05 59 30 82 84"</f>
        <v>05 59 30 82 84</v>
      </c>
      <c r="L2989" s="1">
        <v>25812</v>
      </c>
      <c r="M2989" t="str">
        <f t="shared" si="426"/>
        <v>124</v>
      </c>
      <c r="N2989" t="str">
        <f t="shared" si="427"/>
        <v>Centre de Santé</v>
      </c>
      <c r="O2989" t="str">
        <f>"41"</f>
        <v>41</v>
      </c>
      <c r="P2989" t="str">
        <f>"Régime Spécial de Sécurité Sociale"</f>
        <v>Régime Spécial de Sécurité Sociale</v>
      </c>
      <c r="Q2989" t="str">
        <f t="shared" si="428"/>
        <v>36</v>
      </c>
      <c r="R2989" t="str">
        <f t="shared" si="429"/>
        <v>Tarifs conventionnels assurance maladie</v>
      </c>
      <c r="U2989" t="str">
        <f>"750050759"</f>
        <v>750050759</v>
      </c>
    </row>
    <row r="2990" spans="1:21" x14ac:dyDescent="0.3">
      <c r="A2990" t="str">
        <f>"140001132"</f>
        <v>140001132</v>
      </c>
      <c r="B2990" t="str">
        <f>"794 994 277 02121"</f>
        <v>794 994 277 02121</v>
      </c>
      <c r="D2990" t="str">
        <f>"CENTRE DE SANTE DENTAIRE - BAYEUX"</f>
        <v>CENTRE DE SANTE DENTAIRE - BAYEUX</v>
      </c>
      <c r="E2990" t="str">
        <f>"POLE DE SANTE D'ARGOUGES"</f>
        <v>POLE DE SANTE D'ARGOUGES</v>
      </c>
      <c r="F2990" t="str">
        <f>"RUE DE BEAUVAIS"</f>
        <v>RUE DE BEAUVAIS</v>
      </c>
      <c r="H2990" t="str">
        <f>"14400"</f>
        <v>14400</v>
      </c>
      <c r="I2990" t="str">
        <f>"BAYEUX"</f>
        <v>BAYEUX</v>
      </c>
      <c r="J2990" t="str">
        <f>"02 31 92 00 58 "</f>
        <v xml:space="preserve">02 31 92 00 58 </v>
      </c>
      <c r="L2990" s="1">
        <v>25720</v>
      </c>
      <c r="M2990" t="str">
        <f t="shared" si="426"/>
        <v>124</v>
      </c>
      <c r="N2990" t="str">
        <f t="shared" si="427"/>
        <v>Centre de Santé</v>
      </c>
      <c r="O2990" t="str">
        <f>"47"</f>
        <v>47</v>
      </c>
      <c r="P2990" t="str">
        <f>"Société Mutualiste"</f>
        <v>Société Mutualiste</v>
      </c>
      <c r="Q2990" t="str">
        <f t="shared" si="428"/>
        <v>36</v>
      </c>
      <c r="R2990" t="str">
        <f t="shared" si="429"/>
        <v>Tarifs conventionnels assurance maladie</v>
      </c>
      <c r="U2990" t="str">
        <f>"760000539"</f>
        <v>760000539</v>
      </c>
    </row>
    <row r="2991" spans="1:21" x14ac:dyDescent="0.3">
      <c r="A2991" t="str">
        <f>"500015771"</f>
        <v>500015771</v>
      </c>
      <c r="B2991" t="str">
        <f>"794 994 277 02568"</f>
        <v>794 994 277 02568</v>
      </c>
      <c r="D2991" t="str">
        <f>"CENTRE DE SANTÉ DENTAIRE - CHERBOURG"</f>
        <v>CENTRE DE SANTÉ DENTAIRE - CHERBOURG</v>
      </c>
      <c r="E2991" t="str">
        <f>"PARC D'ACTIVITÉS DES FOURCHES"</f>
        <v>PARC D'ACTIVITÉS DES FOURCHES</v>
      </c>
      <c r="F2991" t="str">
        <f>"10 RUE DES VINDITS"</f>
        <v>10 RUE DES VINDITS</v>
      </c>
      <c r="H2991" t="str">
        <f>"50130"</f>
        <v>50130</v>
      </c>
      <c r="I2991" t="str">
        <f>"CHERBOURG EN COTENTIN"</f>
        <v>CHERBOURG EN COTENTIN</v>
      </c>
      <c r="J2991" t="str">
        <f>"02 33 87 64 80 "</f>
        <v xml:space="preserve">02 33 87 64 80 </v>
      </c>
      <c r="L2991" s="1">
        <v>25600</v>
      </c>
      <c r="M2991" t="str">
        <f t="shared" si="426"/>
        <v>124</v>
      </c>
      <c r="N2991" t="str">
        <f t="shared" si="427"/>
        <v>Centre de Santé</v>
      </c>
      <c r="O2991" t="str">
        <f>"47"</f>
        <v>47</v>
      </c>
      <c r="P2991" t="str">
        <f>"Société Mutualiste"</f>
        <v>Société Mutualiste</v>
      </c>
      <c r="Q2991" t="str">
        <f t="shared" si="428"/>
        <v>36</v>
      </c>
      <c r="R2991" t="str">
        <f t="shared" si="429"/>
        <v>Tarifs conventionnels assurance maladie</v>
      </c>
      <c r="U2991" t="str">
        <f>"760000539"</f>
        <v>760000539</v>
      </c>
    </row>
    <row r="2992" spans="1:21" x14ac:dyDescent="0.3">
      <c r="A2992" t="str">
        <f>"490531639"</f>
        <v>490531639</v>
      </c>
      <c r="B2992" t="str">
        <f>"320 367 980 00010"</f>
        <v>320 367 980 00010</v>
      </c>
      <c r="D2992" t="str">
        <f>"CENTRE DE SOINS INFIRMIERS"</f>
        <v>CENTRE DE SOINS INFIRMIERS</v>
      </c>
      <c r="F2992" t="str">
        <f>"1 BOULEVARD DE LA PREVALAYE"</f>
        <v>1 BOULEVARD DE LA PREVALAYE</v>
      </c>
      <c r="G2992" t="str">
        <f>"POUANCE"</f>
        <v>POUANCE</v>
      </c>
      <c r="H2992" t="str">
        <f>"49520"</f>
        <v>49520</v>
      </c>
      <c r="I2992" t="str">
        <f>"OMBREE D ANJOU"</f>
        <v>OMBREE D ANJOU</v>
      </c>
      <c r="J2992" t="str">
        <f>"02 41 94 87 00 "</f>
        <v xml:space="preserve">02 41 94 87 00 </v>
      </c>
      <c r="L2992" s="1">
        <v>25570</v>
      </c>
      <c r="M2992" t="str">
        <f t="shared" si="426"/>
        <v>124</v>
      </c>
      <c r="N2992" t="str">
        <f t="shared" si="427"/>
        <v>Centre de Santé</v>
      </c>
      <c r="O2992" t="str">
        <f>"60"</f>
        <v>60</v>
      </c>
      <c r="P2992" t="str">
        <f>"Association Loi 1901 non Reconnue d'Utilité Publique"</f>
        <v>Association Loi 1901 non Reconnue d'Utilité Publique</v>
      </c>
      <c r="Q2992" t="str">
        <f t="shared" si="428"/>
        <v>36</v>
      </c>
      <c r="R2992" t="str">
        <f t="shared" si="429"/>
        <v>Tarifs conventionnels assurance maladie</v>
      </c>
      <c r="U2992" t="str">
        <f>"490534997"</f>
        <v>490534997</v>
      </c>
    </row>
    <row r="2993" spans="1:21" x14ac:dyDescent="0.3">
      <c r="A2993" t="str">
        <f>"560023236"</f>
        <v>560023236</v>
      </c>
      <c r="B2993" t="str">
        <f>"519 033 989 00079"</f>
        <v>519 033 989 00079</v>
      </c>
      <c r="D2993" t="str">
        <f>"CDS DENTAIRE LORIENT"</f>
        <v>CDS DENTAIRE LORIENT</v>
      </c>
      <c r="F2993" t="str">
        <f>"3 PLACE FRANÇOIS MITTERRAND"</f>
        <v>3 PLACE FRANÇOIS MITTERRAND</v>
      </c>
      <c r="G2993" t="str">
        <f>"BP 825"</f>
        <v>BP 825</v>
      </c>
      <c r="H2993" t="str">
        <f>"56108"</f>
        <v>56108</v>
      </c>
      <c r="I2993" t="str">
        <f>"LORIENT CEDEX"</f>
        <v>LORIENT CEDEX</v>
      </c>
      <c r="J2993" t="str">
        <f>"02 97 64 82 82 "</f>
        <v xml:space="preserve">02 97 64 82 82 </v>
      </c>
      <c r="L2993" s="1">
        <v>25569</v>
      </c>
      <c r="M2993" t="str">
        <f t="shared" si="426"/>
        <v>124</v>
      </c>
      <c r="N2993" t="str">
        <f t="shared" si="427"/>
        <v>Centre de Santé</v>
      </c>
      <c r="O2993" t="str">
        <f>"47"</f>
        <v>47</v>
      </c>
      <c r="P2993" t="str">
        <f>"Société Mutualiste"</f>
        <v>Société Mutualiste</v>
      </c>
      <c r="Q2993" t="str">
        <f t="shared" si="428"/>
        <v>36</v>
      </c>
      <c r="R2993" t="str">
        <f t="shared" si="429"/>
        <v>Tarifs conventionnels assurance maladie</v>
      </c>
      <c r="U2993" t="str">
        <f>"560030710"</f>
        <v>560030710</v>
      </c>
    </row>
    <row r="2994" spans="1:21" x14ac:dyDescent="0.3">
      <c r="A2994" t="str">
        <f>"670781863"</f>
        <v>670781863</v>
      </c>
      <c r="B2994" t="str">
        <f>"331 192 898 00020"</f>
        <v>331 192 898 00020</v>
      </c>
      <c r="D2994" t="str">
        <f>"CENTRE DE SOINS INFIRMIERS DE WOERTH"</f>
        <v>CENTRE DE SOINS INFIRMIERS DE WOERTH</v>
      </c>
      <c r="F2994" t="str">
        <f>"10 RUE DE L'EGLISE"</f>
        <v>10 RUE DE L'EGLISE</v>
      </c>
      <c r="H2994" t="str">
        <f>"67360"</f>
        <v>67360</v>
      </c>
      <c r="I2994" t="str">
        <f>"WOERTH"</f>
        <v>WOERTH</v>
      </c>
      <c r="J2994" t="str">
        <f>"03 88 09 32 58 "</f>
        <v xml:space="preserve">03 88 09 32 58 </v>
      </c>
      <c r="L2994" s="1">
        <v>25569</v>
      </c>
      <c r="M2994" t="str">
        <f t="shared" si="426"/>
        <v>124</v>
      </c>
      <c r="N2994" t="str">
        <f t="shared" si="427"/>
        <v>Centre de Santé</v>
      </c>
      <c r="O2994" t="str">
        <f>"62"</f>
        <v>62</v>
      </c>
      <c r="P2994" t="str">
        <f>"Association de Droit Local"</f>
        <v>Association de Droit Local</v>
      </c>
      <c r="Q2994" t="str">
        <f t="shared" si="428"/>
        <v>36</v>
      </c>
      <c r="R2994" t="str">
        <f t="shared" si="429"/>
        <v>Tarifs conventionnels assurance maladie</v>
      </c>
      <c r="U2994" t="str">
        <f>"670003599"</f>
        <v>670003599</v>
      </c>
    </row>
    <row r="2995" spans="1:21" x14ac:dyDescent="0.3">
      <c r="A2995" t="str">
        <f>"930010376"</f>
        <v>930010376</v>
      </c>
      <c r="B2995" t="str">
        <f>"219 300 480 00668"</f>
        <v>219 300 480 00668</v>
      </c>
      <c r="D2995" t="str">
        <f>"CDS MEDICAL MUNICIPAL MONTREUIL"</f>
        <v>CDS MEDICAL MUNICIPAL MONTREUIL</v>
      </c>
      <c r="F2995" t="str">
        <f>"3 AVENUE LEO LAGRANGE"</f>
        <v>3 AVENUE LEO LAGRANGE</v>
      </c>
      <c r="H2995" t="str">
        <f>"93100"</f>
        <v>93100</v>
      </c>
      <c r="I2995" t="str">
        <f>"MONTREUIL"</f>
        <v>MONTREUIL</v>
      </c>
      <c r="J2995" t="str">
        <f>"01 48 70 64 22 "</f>
        <v xml:space="preserve">01 48 70 64 22 </v>
      </c>
      <c r="K2995" t="str">
        <f>"01 48 47 46 78"</f>
        <v>01 48 47 46 78</v>
      </c>
      <c r="L2995" s="1">
        <v>25531</v>
      </c>
      <c r="M2995" t="str">
        <f t="shared" si="426"/>
        <v>124</v>
      </c>
      <c r="N2995" t="str">
        <f t="shared" si="427"/>
        <v>Centre de Santé</v>
      </c>
      <c r="O2995" t="str">
        <f>"03"</f>
        <v>03</v>
      </c>
      <c r="P2995" t="str">
        <f>"Commune"</f>
        <v>Commune</v>
      </c>
      <c r="Q2995" t="str">
        <f t="shared" si="428"/>
        <v>36</v>
      </c>
      <c r="R2995" t="str">
        <f t="shared" si="429"/>
        <v>Tarifs conventionnels assurance maladie</v>
      </c>
      <c r="U2995" t="str">
        <f>"930813050"</f>
        <v>930813050</v>
      </c>
    </row>
    <row r="2996" spans="1:21" x14ac:dyDescent="0.3">
      <c r="A2996" t="str">
        <f>"540008679"</f>
        <v>540008679</v>
      </c>
      <c r="B2996" t="str">
        <f>"783 371 289 00019"</f>
        <v>783 371 289 00019</v>
      </c>
      <c r="D2996" t="str">
        <f>"CDS VANDOEUVRE"</f>
        <v>CDS VANDOEUVRE</v>
      </c>
      <c r="F2996" t="str">
        <f>"2 RUE DU DOYEN PARISOT"</f>
        <v>2 RUE DU DOYEN PARISOT</v>
      </c>
      <c r="G2996" t="str">
        <f>"BP 7"</f>
        <v>BP 7</v>
      </c>
      <c r="H2996" t="str">
        <f>"54500"</f>
        <v>54500</v>
      </c>
      <c r="I2996" t="str">
        <f>"VANDOEUVRE LES NANCY"</f>
        <v>VANDOEUVRE LES NANCY</v>
      </c>
      <c r="J2996" t="str">
        <f>"03 83 44 87 50 "</f>
        <v xml:space="preserve">03 83 44 87 50 </v>
      </c>
      <c r="K2996" t="str">
        <f>"03 83 44 01 73"</f>
        <v>03 83 44 01 73</v>
      </c>
      <c r="L2996" s="1">
        <v>25508</v>
      </c>
      <c r="M2996" t="str">
        <f t="shared" si="426"/>
        <v>124</v>
      </c>
      <c r="N2996" t="str">
        <f t="shared" si="427"/>
        <v>Centre de Santé</v>
      </c>
      <c r="O2996" t="str">
        <f>"40"</f>
        <v>40</v>
      </c>
      <c r="P2996" t="str">
        <f>"Régime Général de Sécurité Sociale"</f>
        <v>Régime Général de Sécurité Sociale</v>
      </c>
      <c r="Q2996" t="str">
        <f t="shared" si="428"/>
        <v>36</v>
      </c>
      <c r="R2996" t="str">
        <f t="shared" si="429"/>
        <v>Tarifs conventionnels assurance maladie</v>
      </c>
      <c r="U2996" t="str">
        <f>"540020658"</f>
        <v>540020658</v>
      </c>
    </row>
    <row r="2997" spans="1:21" x14ac:dyDescent="0.3">
      <c r="A2997" t="str">
        <f>"130785918"</f>
        <v>130785918</v>
      </c>
      <c r="D2997" t="str">
        <f>"CSP OXANCE MICHEL BORIO"</f>
        <v>CSP OXANCE MICHEL BORIO</v>
      </c>
      <c r="F2997" t="str">
        <f>"18 RUE GAMBETTA"</f>
        <v>18 RUE GAMBETTA</v>
      </c>
      <c r="H2997" t="str">
        <f>"13110"</f>
        <v>13110</v>
      </c>
      <c r="I2997" t="str">
        <f>"PORT DE BOUC"</f>
        <v>PORT DE BOUC</v>
      </c>
      <c r="J2997" t="str">
        <f>"04 42 06 09 22 "</f>
        <v xml:space="preserve">04 42 06 09 22 </v>
      </c>
      <c r="L2997" s="1">
        <v>25479</v>
      </c>
      <c r="M2997" t="str">
        <f t="shared" si="426"/>
        <v>124</v>
      </c>
      <c r="N2997" t="str">
        <f t="shared" si="427"/>
        <v>Centre de Santé</v>
      </c>
      <c r="O2997" t="str">
        <f>"47"</f>
        <v>47</v>
      </c>
      <c r="P2997" t="str">
        <f>"Société Mutualiste"</f>
        <v>Société Mutualiste</v>
      </c>
      <c r="Q2997" t="str">
        <f t="shared" si="428"/>
        <v>36</v>
      </c>
      <c r="R2997" t="str">
        <f t="shared" si="429"/>
        <v>Tarifs conventionnels assurance maladie</v>
      </c>
      <c r="U2997" t="str">
        <f>"690048111"</f>
        <v>690048111</v>
      </c>
    </row>
    <row r="2998" spans="1:21" x14ac:dyDescent="0.3">
      <c r="A2998" t="str">
        <f>"030781280"</f>
        <v>030781280</v>
      </c>
      <c r="B2998" t="str">
        <f>"384 432 407 00011"</f>
        <v>384 432 407 00011</v>
      </c>
      <c r="D2998" t="str">
        <f>"CENTRE DE SOINS INFIRMIERS"</f>
        <v>CENTRE DE SOINS INFIRMIERS</v>
      </c>
      <c r="F2998" t="str">
        <f>"19 BOULEVARD GAMBETTA"</f>
        <v>19 BOULEVARD GAMBETTA</v>
      </c>
      <c r="G2998" t="str">
        <f>"BP 62846"</f>
        <v>BP 62846</v>
      </c>
      <c r="H2998" t="str">
        <f>"03200"</f>
        <v>03200</v>
      </c>
      <c r="I2998" t="str">
        <f>"VICHY"</f>
        <v>VICHY</v>
      </c>
      <c r="J2998" t="str">
        <f>"04 70 98 03 65 "</f>
        <v xml:space="preserve">04 70 98 03 65 </v>
      </c>
      <c r="K2998" t="str">
        <f>"04 70 97 61 87"</f>
        <v>04 70 97 61 87</v>
      </c>
      <c r="L2998" s="1">
        <v>25477</v>
      </c>
      <c r="M2998" t="str">
        <f t="shared" si="426"/>
        <v>124</v>
      </c>
      <c r="N2998" t="str">
        <f t="shared" si="427"/>
        <v>Centre de Santé</v>
      </c>
      <c r="O2998" t="str">
        <f>"61"</f>
        <v>61</v>
      </c>
      <c r="P2998" t="str">
        <f>"Association Loi 1901 Reconnue d'Utilité Publique"</f>
        <v>Association Loi 1901 Reconnue d'Utilité Publique</v>
      </c>
      <c r="Q2998" t="str">
        <f t="shared" si="428"/>
        <v>36</v>
      </c>
      <c r="R2998" t="str">
        <f t="shared" si="429"/>
        <v>Tarifs conventionnels assurance maladie</v>
      </c>
      <c r="U2998" t="str">
        <f>"030786347"</f>
        <v>030786347</v>
      </c>
    </row>
    <row r="2999" spans="1:21" x14ac:dyDescent="0.3">
      <c r="A2999" t="str">
        <f>"870003274"</f>
        <v>870003274</v>
      </c>
      <c r="B2999" t="str">
        <f>"775 716 673 00154"</f>
        <v>775 716 673 00154</v>
      </c>
      <c r="D2999" t="str">
        <f>"CABINET DENTAIRE MUTUALISTE"</f>
        <v>CABINET DENTAIRE MUTUALISTE</v>
      </c>
      <c r="F2999" t="str">
        <f>"7 BOULEVARD LOUIS BLANC"</f>
        <v>7 BOULEVARD LOUIS BLANC</v>
      </c>
      <c r="H2999" t="str">
        <f>"87200"</f>
        <v>87200</v>
      </c>
      <c r="I2999" t="str">
        <f>"ST JUNIEN"</f>
        <v>ST JUNIEN</v>
      </c>
      <c r="J2999" t="str">
        <f>"05 55 02 22 30 "</f>
        <v xml:space="preserve">05 55 02 22 30 </v>
      </c>
      <c r="L2999" s="1">
        <v>25461</v>
      </c>
      <c r="M2999" t="str">
        <f t="shared" si="426"/>
        <v>124</v>
      </c>
      <c r="N2999" t="str">
        <f t="shared" si="427"/>
        <v>Centre de Santé</v>
      </c>
      <c r="O2999" t="str">
        <f>"47"</f>
        <v>47</v>
      </c>
      <c r="P2999" t="str">
        <f>"Société Mutualiste"</f>
        <v>Société Mutualiste</v>
      </c>
      <c r="Q2999" t="str">
        <f t="shared" si="428"/>
        <v>36</v>
      </c>
      <c r="R2999" t="str">
        <f t="shared" si="429"/>
        <v>Tarifs conventionnels assurance maladie</v>
      </c>
      <c r="U2999" t="str">
        <f>"870016722"</f>
        <v>870016722</v>
      </c>
    </row>
    <row r="3000" spans="1:21" x14ac:dyDescent="0.3">
      <c r="A3000" t="str">
        <f>"170791727"</f>
        <v>170791727</v>
      </c>
      <c r="B3000" t="str">
        <f>"343 334 744 00327"</f>
        <v>343 334 744 00327</v>
      </c>
      <c r="D3000" t="str">
        <f>"CENTRE DE SANTE - MUT F. 17"</f>
        <v>CENTRE DE SANTE - MUT F. 17</v>
      </c>
      <c r="F3000" t="str">
        <f>"103 BOULEVARD ANDRE SAUTEL"</f>
        <v>103 BOULEVARD ANDRE SAUTEL</v>
      </c>
      <c r="H3000" t="str">
        <f>"17000"</f>
        <v>17000</v>
      </c>
      <c r="I3000" t="str">
        <f>"LA ROCHELLE"</f>
        <v>LA ROCHELLE</v>
      </c>
      <c r="J3000" t="str">
        <f>"05 46 50 01 91 "</f>
        <v xml:space="preserve">05 46 50 01 91 </v>
      </c>
      <c r="K3000" t="str">
        <f>"05 46 50 01 96"</f>
        <v>05 46 50 01 96</v>
      </c>
      <c r="L3000" s="1">
        <v>25399</v>
      </c>
      <c r="M3000" t="str">
        <f t="shared" si="426"/>
        <v>124</v>
      </c>
      <c r="N3000" t="str">
        <f t="shared" si="427"/>
        <v>Centre de Santé</v>
      </c>
      <c r="O3000" t="str">
        <f>"47"</f>
        <v>47</v>
      </c>
      <c r="P3000" t="str">
        <f>"Société Mutualiste"</f>
        <v>Société Mutualiste</v>
      </c>
      <c r="Q3000" t="str">
        <f t="shared" si="428"/>
        <v>36</v>
      </c>
      <c r="R3000" t="str">
        <f t="shared" si="429"/>
        <v>Tarifs conventionnels assurance maladie</v>
      </c>
      <c r="U3000" t="str">
        <f>"170020432"</f>
        <v>170020432</v>
      </c>
    </row>
    <row r="3001" spans="1:21" x14ac:dyDescent="0.3">
      <c r="A3001" t="str">
        <f>"130785447"</f>
        <v>130785447</v>
      </c>
      <c r="D3001" t="str">
        <f>"CDS OXANCE PIERRE GABRIELLI"</f>
        <v>CDS OXANCE PIERRE GABRIELLI</v>
      </c>
      <c r="F3001" t="str">
        <f>"17 BOULEVARD MARCEL CACHIN"</f>
        <v>17 BOULEVARD MARCEL CACHIN</v>
      </c>
      <c r="H3001" t="str">
        <f>"13130"</f>
        <v>13130</v>
      </c>
      <c r="I3001" t="str">
        <f>"BERRE L ETANG"</f>
        <v>BERRE L ETANG</v>
      </c>
      <c r="J3001" t="str">
        <f>"04 96 19 10 82 "</f>
        <v xml:space="preserve">04 96 19 10 82 </v>
      </c>
      <c r="L3001" s="1">
        <v>25396</v>
      </c>
      <c r="M3001" t="str">
        <f t="shared" si="426"/>
        <v>124</v>
      </c>
      <c r="N3001" t="str">
        <f t="shared" si="427"/>
        <v>Centre de Santé</v>
      </c>
      <c r="O3001" t="str">
        <f>"47"</f>
        <v>47</v>
      </c>
      <c r="P3001" t="str">
        <f>"Société Mutualiste"</f>
        <v>Société Mutualiste</v>
      </c>
      <c r="Q3001" t="str">
        <f t="shared" si="428"/>
        <v>36</v>
      </c>
      <c r="R3001" t="str">
        <f t="shared" si="429"/>
        <v>Tarifs conventionnels assurance maladie</v>
      </c>
      <c r="U3001" t="str">
        <f>"690048111"</f>
        <v>690048111</v>
      </c>
    </row>
    <row r="3002" spans="1:21" x14ac:dyDescent="0.3">
      <c r="A3002" t="str">
        <f>"680011806"</f>
        <v>680011806</v>
      </c>
      <c r="B3002" t="str">
        <f>"775 685 316 03730"</f>
        <v>775 685 316 03730</v>
      </c>
      <c r="D3002" t="str">
        <f>"CENTRE DENTAIRE FILIERIS WITTELSHEIM"</f>
        <v>CENTRE DENTAIRE FILIERIS WITTELSHEIM</v>
      </c>
      <c r="F3002" t="str">
        <f>"2 RUE JOSEPH VOGT"</f>
        <v>2 RUE JOSEPH VOGT</v>
      </c>
      <c r="H3002" t="str">
        <f>"68310"</f>
        <v>68310</v>
      </c>
      <c r="I3002" t="str">
        <f>"WITTELSHEIM"</f>
        <v>WITTELSHEIM</v>
      </c>
      <c r="J3002" t="str">
        <f>"03 89 55 10 31 "</f>
        <v xml:space="preserve">03 89 55 10 31 </v>
      </c>
      <c r="L3002" s="1">
        <v>25385</v>
      </c>
      <c r="M3002" t="str">
        <f t="shared" si="426"/>
        <v>124</v>
      </c>
      <c r="N3002" t="str">
        <f t="shared" si="427"/>
        <v>Centre de Santé</v>
      </c>
      <c r="O3002" t="str">
        <f>"41"</f>
        <v>41</v>
      </c>
      <c r="P3002" t="str">
        <f>"Régime Spécial de Sécurité Sociale"</f>
        <v>Régime Spécial de Sécurité Sociale</v>
      </c>
      <c r="Q3002" t="str">
        <f t="shared" si="428"/>
        <v>36</v>
      </c>
      <c r="R3002" t="str">
        <f t="shared" si="429"/>
        <v>Tarifs conventionnels assurance maladie</v>
      </c>
      <c r="U3002" t="str">
        <f>"750050759"</f>
        <v>750050759</v>
      </c>
    </row>
    <row r="3003" spans="1:21" x14ac:dyDescent="0.3">
      <c r="A3003" t="str">
        <f>"610780397"</f>
        <v>610780397</v>
      </c>
      <c r="B3003" t="str">
        <f>"794 994 277 00935"</f>
        <v>794 994 277 00935</v>
      </c>
      <c r="D3003" t="str">
        <f>"CENTRE DE SANTE DENTAIRE - ALENCON"</f>
        <v>CENTRE DE SANTE DENTAIRE - ALENCON</v>
      </c>
      <c r="F3003" t="str">
        <f>"26 RUE ODOLANT-DESNOS"</f>
        <v>26 RUE ODOLANT-DESNOS</v>
      </c>
      <c r="H3003" t="str">
        <f>"61000"</f>
        <v>61000</v>
      </c>
      <c r="I3003" t="str">
        <f>"ALENCON"</f>
        <v>ALENCON</v>
      </c>
      <c r="J3003" t="str">
        <f>"02 33 82 59 61 "</f>
        <v xml:space="preserve">02 33 82 59 61 </v>
      </c>
      <c r="K3003" t="str">
        <f>"02 33 82 59 65"</f>
        <v>02 33 82 59 65</v>
      </c>
      <c r="L3003" s="1">
        <v>25372</v>
      </c>
      <c r="M3003" t="str">
        <f t="shared" si="426"/>
        <v>124</v>
      </c>
      <c r="N3003" t="str">
        <f t="shared" si="427"/>
        <v>Centre de Santé</v>
      </c>
      <c r="O3003" t="str">
        <f>"47"</f>
        <v>47</v>
      </c>
      <c r="P3003" t="str">
        <f>"Société Mutualiste"</f>
        <v>Société Mutualiste</v>
      </c>
      <c r="Q3003" t="str">
        <f t="shared" si="428"/>
        <v>36</v>
      </c>
      <c r="R3003" t="str">
        <f t="shared" si="429"/>
        <v>Tarifs conventionnels assurance maladie</v>
      </c>
      <c r="U3003" t="str">
        <f>"760000539"</f>
        <v>760000539</v>
      </c>
    </row>
    <row r="3004" spans="1:21" x14ac:dyDescent="0.3">
      <c r="A3004" t="str">
        <f>"750012007"</f>
        <v>750012007</v>
      </c>
      <c r="B3004" t="str">
        <f>"784 753 204 00014"</f>
        <v>784 753 204 00014</v>
      </c>
      <c r="D3004" t="str">
        <f>"CDS POLYCLINIQUE LA FOURCHE"</f>
        <v>CDS POLYCLINIQUE LA FOURCHE</v>
      </c>
      <c r="F3004" t="str">
        <f>"8 AVENUE DE SAINT OUEN"</f>
        <v>8 AVENUE DE SAINT OUEN</v>
      </c>
      <c r="H3004" t="str">
        <f>"75018"</f>
        <v>75018</v>
      </c>
      <c r="I3004" t="str">
        <f>"PARIS"</f>
        <v>PARIS</v>
      </c>
      <c r="J3004" t="str">
        <f>"01 43 87 99 80 "</f>
        <v xml:space="preserve">01 43 87 99 80 </v>
      </c>
      <c r="K3004" t="str">
        <f>"01 42 93 92 92"</f>
        <v>01 42 93 92 92</v>
      </c>
      <c r="L3004" s="1">
        <v>25364</v>
      </c>
      <c r="M3004" t="str">
        <f t="shared" si="426"/>
        <v>124</v>
      </c>
      <c r="N3004" t="str">
        <f t="shared" si="427"/>
        <v>Centre de Santé</v>
      </c>
      <c r="O3004" t="str">
        <f>"60"</f>
        <v>60</v>
      </c>
      <c r="P3004" t="str">
        <f>"Association Loi 1901 non Reconnue d'Utilité Publique"</f>
        <v>Association Loi 1901 non Reconnue d'Utilité Publique</v>
      </c>
      <c r="Q3004" t="str">
        <f t="shared" si="428"/>
        <v>36</v>
      </c>
      <c r="R3004" t="str">
        <f t="shared" si="429"/>
        <v>Tarifs conventionnels assurance maladie</v>
      </c>
      <c r="U3004" t="str">
        <f>"750821076"</f>
        <v>750821076</v>
      </c>
    </row>
    <row r="3005" spans="1:21" x14ac:dyDescent="0.3">
      <c r="A3005" t="str">
        <f>"870003324"</f>
        <v>870003324</v>
      </c>
      <c r="B3005" t="str">
        <f>"778 078 766 00012"</f>
        <v>778 078 766 00012</v>
      </c>
      <c r="D3005" t="str">
        <f>"CENTRE DE SOINS INFIRMIERS"</f>
        <v>CENTRE DE SOINS INFIRMIERS</v>
      </c>
      <c r="F3005" t="str">
        <f>"36 RUE MONTPLAISIR"</f>
        <v>36 RUE MONTPLAISIR</v>
      </c>
      <c r="H3005" t="str">
        <f>"87140"</f>
        <v>87140</v>
      </c>
      <c r="I3005" t="str">
        <f>"NANTIAT"</f>
        <v>NANTIAT</v>
      </c>
      <c r="J3005" t="str">
        <f>"05 55 53 37 03 "</f>
        <v xml:space="preserve">05 55 53 37 03 </v>
      </c>
      <c r="L3005" s="1">
        <v>25355</v>
      </c>
      <c r="M3005" t="str">
        <f t="shared" si="426"/>
        <v>124</v>
      </c>
      <c r="N3005" t="str">
        <f t="shared" si="427"/>
        <v>Centre de Santé</v>
      </c>
      <c r="O3005" t="str">
        <f>"60"</f>
        <v>60</v>
      </c>
      <c r="P3005" t="str">
        <f>"Association Loi 1901 non Reconnue d'Utilité Publique"</f>
        <v>Association Loi 1901 non Reconnue d'Utilité Publique</v>
      </c>
      <c r="Q3005" t="str">
        <f t="shared" si="428"/>
        <v>36</v>
      </c>
      <c r="R3005" t="str">
        <f t="shared" si="429"/>
        <v>Tarifs conventionnels assurance maladie</v>
      </c>
      <c r="U3005" t="str">
        <f>"870006194"</f>
        <v>870006194</v>
      </c>
    </row>
    <row r="3006" spans="1:21" x14ac:dyDescent="0.3">
      <c r="A3006" t="str">
        <f>"930010269"</f>
        <v>930010269</v>
      </c>
      <c r="B3006" t="str">
        <f>"219 300 290 00372"</f>
        <v>219 300 290 00372</v>
      </c>
      <c r="D3006" t="str">
        <f>"CDS MEDICAL MUNICIPAL CORENTIN CELTON"</f>
        <v>CDS MEDICAL MUNICIPAL CORENTIN CELTON</v>
      </c>
      <c r="E3006" t="str">
        <f>"CORENTIN CELTON"</f>
        <v>CORENTIN CELTON</v>
      </c>
      <c r="F3006" t="str">
        <f>"ALLEE D'ESTIENNE D ORVES"</f>
        <v>ALLEE D'ESTIENNE D ORVES</v>
      </c>
      <c r="G3006" t="str">
        <f>"BP 77"</f>
        <v>BP 77</v>
      </c>
      <c r="H3006" t="str">
        <f>"93701"</f>
        <v>93701</v>
      </c>
      <c r="I3006" t="str">
        <f>"DRANCY CEDEX"</f>
        <v>DRANCY CEDEX</v>
      </c>
      <c r="J3006" t="str">
        <f>"01 48 96 45 27 "</f>
        <v xml:space="preserve">01 48 96 45 27 </v>
      </c>
      <c r="L3006" s="1">
        <v>25294</v>
      </c>
      <c r="M3006" t="str">
        <f t="shared" si="426"/>
        <v>124</v>
      </c>
      <c r="N3006" t="str">
        <f t="shared" si="427"/>
        <v>Centre de Santé</v>
      </c>
      <c r="O3006" t="str">
        <f>"03"</f>
        <v>03</v>
      </c>
      <c r="P3006" t="str">
        <f>"Commune"</f>
        <v>Commune</v>
      </c>
      <c r="Q3006" t="str">
        <f t="shared" si="428"/>
        <v>36</v>
      </c>
      <c r="R3006" t="str">
        <f t="shared" si="429"/>
        <v>Tarifs conventionnels assurance maladie</v>
      </c>
      <c r="U3006" t="str">
        <f>"930812961"</f>
        <v>930812961</v>
      </c>
    </row>
    <row r="3007" spans="1:21" x14ac:dyDescent="0.3">
      <c r="A3007" t="str">
        <f>"930010350"</f>
        <v>930010350</v>
      </c>
      <c r="B3007" t="str">
        <f>"219 300 480 00643"</f>
        <v>219 300 480 00643</v>
      </c>
      <c r="D3007" t="str">
        <f>"CDS MUNICIPAL TAWHIDA BEN CHEIK"</f>
        <v>CDS MUNICIPAL TAWHIDA BEN CHEIK</v>
      </c>
      <c r="F3007" t="str">
        <f>"15 RUE DES GRANDS PECHERS"</f>
        <v>15 RUE DES GRANDS PECHERS</v>
      </c>
      <c r="H3007" t="str">
        <f>"93100"</f>
        <v>93100</v>
      </c>
      <c r="I3007" t="str">
        <f>"MONTREUIL"</f>
        <v>MONTREUIL</v>
      </c>
      <c r="J3007" t="str">
        <f>"01 48 70 60 80 "</f>
        <v xml:space="preserve">01 48 70 60 80 </v>
      </c>
      <c r="K3007" t="str">
        <f>"01 42 87 49 39"</f>
        <v>01 42 87 49 39</v>
      </c>
      <c r="L3007" s="1">
        <v>25294</v>
      </c>
      <c r="M3007" t="str">
        <f t="shared" si="426"/>
        <v>124</v>
      </c>
      <c r="N3007" t="str">
        <f t="shared" si="427"/>
        <v>Centre de Santé</v>
      </c>
      <c r="O3007" t="str">
        <f>"03"</f>
        <v>03</v>
      </c>
      <c r="P3007" t="str">
        <f>"Commune"</f>
        <v>Commune</v>
      </c>
      <c r="Q3007" t="str">
        <f t="shared" si="428"/>
        <v>36</v>
      </c>
      <c r="R3007" t="str">
        <f t="shared" si="429"/>
        <v>Tarifs conventionnels assurance maladie</v>
      </c>
      <c r="U3007" t="str">
        <f>"930813050"</f>
        <v>930813050</v>
      </c>
    </row>
    <row r="3008" spans="1:21" x14ac:dyDescent="0.3">
      <c r="A3008" t="str">
        <f>"850012055"</f>
        <v>850012055</v>
      </c>
      <c r="B3008" t="str">
        <f>"844 881 417 01520"</f>
        <v>844 881 417 01520</v>
      </c>
      <c r="D3008" t="str">
        <f>"CENTRE DENTAIRE MUTUALISTE"</f>
        <v>CENTRE DENTAIRE MUTUALISTE</v>
      </c>
      <c r="F3008" t="str">
        <f>"34 AVENUE YITZHAK RABIN"</f>
        <v>34 AVENUE YITZHAK RABIN</v>
      </c>
      <c r="H3008" t="str">
        <f>"85000"</f>
        <v>85000</v>
      </c>
      <c r="I3008" t="str">
        <f>"LA ROCHE SUR YON"</f>
        <v>LA ROCHE SUR YON</v>
      </c>
      <c r="J3008" t="str">
        <f>"02 51 44 19 53 "</f>
        <v xml:space="preserve">02 51 44 19 53 </v>
      </c>
      <c r="L3008" s="1">
        <v>25267</v>
      </c>
      <c r="M3008" t="str">
        <f t="shared" si="426"/>
        <v>124</v>
      </c>
      <c r="N3008" t="str">
        <f t="shared" si="427"/>
        <v>Centre de Santé</v>
      </c>
      <c r="O3008" t="str">
        <f>"47"</f>
        <v>47</v>
      </c>
      <c r="P3008" t="str">
        <f>"Société Mutualiste"</f>
        <v>Société Mutualiste</v>
      </c>
      <c r="Q3008" t="str">
        <f t="shared" si="428"/>
        <v>36</v>
      </c>
      <c r="R3008" t="str">
        <f t="shared" si="429"/>
        <v>Tarifs conventionnels assurance maladie</v>
      </c>
      <c r="U3008" t="str">
        <f>"850028085"</f>
        <v>850028085</v>
      </c>
    </row>
    <row r="3009" spans="1:21" x14ac:dyDescent="0.3">
      <c r="A3009" t="str">
        <f>"190002618"</f>
        <v>190002618</v>
      </c>
      <c r="D3009" t="str">
        <f>"CENTRE DE SOINS INFIRMIERS"</f>
        <v>CENTRE DE SOINS INFIRMIERS</v>
      </c>
      <c r="F3009" t="str">
        <f>"7 RUE EMMANUEL BERL"</f>
        <v>7 RUE EMMANUEL BERL</v>
      </c>
      <c r="H3009" t="str">
        <f>"19400"</f>
        <v>19400</v>
      </c>
      <c r="I3009" t="str">
        <f>"ARGENTAT SUR DORDOGNE"</f>
        <v>ARGENTAT SUR DORDOGNE</v>
      </c>
      <c r="J3009" t="str">
        <f>"05 19 64 03 07 "</f>
        <v xml:space="preserve">05 19 64 03 07 </v>
      </c>
      <c r="L3009" s="1">
        <v>25263</v>
      </c>
      <c r="M3009" t="str">
        <f t="shared" si="426"/>
        <v>124</v>
      </c>
      <c r="N3009" t="str">
        <f t="shared" si="427"/>
        <v>Centre de Santé</v>
      </c>
      <c r="O3009" t="str">
        <f>"60"</f>
        <v>60</v>
      </c>
      <c r="P3009" t="str">
        <f>"Association Loi 1901 non Reconnue d'Utilité Publique"</f>
        <v>Association Loi 1901 non Reconnue d'Utilité Publique</v>
      </c>
      <c r="Q3009" t="str">
        <f t="shared" si="428"/>
        <v>36</v>
      </c>
      <c r="R3009" t="str">
        <f t="shared" si="429"/>
        <v>Tarifs conventionnels assurance maladie</v>
      </c>
      <c r="U3009" t="str">
        <f>"190012336"</f>
        <v>190012336</v>
      </c>
    </row>
    <row r="3010" spans="1:21" x14ac:dyDescent="0.3">
      <c r="A3010" t="str">
        <f>"250002664"</f>
        <v>250002664</v>
      </c>
      <c r="B3010" t="str">
        <f>"305 877 102 00056"</f>
        <v>305 877 102 00056</v>
      </c>
      <c r="D3010" t="str">
        <f>"CENTRE SANTE INFIRMIER ADMR MAICHE"</f>
        <v>CENTRE SANTE INFIRMIER ADMR MAICHE</v>
      </c>
      <c r="E3010" t="str">
        <f>"MAISON MEDICALE"</f>
        <v>MAISON MEDICALE</v>
      </c>
      <c r="F3010" t="str">
        <f>"5 RUE DES BOUTONS D OR"</f>
        <v>5 RUE DES BOUTONS D OR</v>
      </c>
      <c r="H3010" t="str">
        <f>"25120"</f>
        <v>25120</v>
      </c>
      <c r="I3010" t="str">
        <f>"MAICHE"</f>
        <v>MAICHE</v>
      </c>
      <c r="J3010" t="str">
        <f>"03 81 64 14 70 "</f>
        <v xml:space="preserve">03 81 64 14 70 </v>
      </c>
      <c r="L3010" s="1">
        <v>25204</v>
      </c>
      <c r="M3010" t="str">
        <f t="shared" ref="M3010:M3073" si="430">"124"</f>
        <v>124</v>
      </c>
      <c r="N3010" t="str">
        <f t="shared" ref="N3010:N3073" si="431">"Centre de Santé"</f>
        <v>Centre de Santé</v>
      </c>
      <c r="O3010" t="str">
        <f>"60"</f>
        <v>60</v>
      </c>
      <c r="P3010" t="str">
        <f>"Association Loi 1901 non Reconnue d'Utilité Publique"</f>
        <v>Association Loi 1901 non Reconnue d'Utilité Publique</v>
      </c>
      <c r="Q3010" t="str">
        <f t="shared" si="428"/>
        <v>36</v>
      </c>
      <c r="R3010" t="str">
        <f t="shared" si="429"/>
        <v>Tarifs conventionnels assurance maladie</v>
      </c>
      <c r="U3010" t="str">
        <f>"250000858"</f>
        <v>250000858</v>
      </c>
    </row>
    <row r="3011" spans="1:21" x14ac:dyDescent="0.3">
      <c r="A3011" t="str">
        <f>"540012416"</f>
        <v>540012416</v>
      </c>
      <c r="B3011" t="str">
        <f>"775 761 844 00833"</f>
        <v>775 761 844 00833</v>
      </c>
      <c r="D3011" t="str">
        <f>"CENTRE DE SANTE DENTAIRE DE JOEUF MFRS"</f>
        <v>CENTRE DE SANTE DENTAIRE DE JOEUF MFRS</v>
      </c>
      <c r="F3011" t="str">
        <f>"50 RUE PIERRE DE BAR"</f>
        <v>50 RUE PIERRE DE BAR</v>
      </c>
      <c r="H3011" t="str">
        <f>"54240"</f>
        <v>54240</v>
      </c>
      <c r="I3011" t="str">
        <f>"JOEUF"</f>
        <v>JOEUF</v>
      </c>
      <c r="J3011" t="str">
        <f>"03 82 47 14 65 "</f>
        <v xml:space="preserve">03 82 47 14 65 </v>
      </c>
      <c r="K3011" t="str">
        <f>"03 82 47 14 74"</f>
        <v>03 82 47 14 74</v>
      </c>
      <c r="L3011" s="1">
        <v>25204</v>
      </c>
      <c r="M3011" t="str">
        <f t="shared" si="430"/>
        <v>124</v>
      </c>
      <c r="N3011" t="str">
        <f t="shared" si="431"/>
        <v>Centre de Santé</v>
      </c>
      <c r="O3011" t="str">
        <f>"47"</f>
        <v>47</v>
      </c>
      <c r="P3011" t="str">
        <f>"Société Mutualiste"</f>
        <v>Société Mutualiste</v>
      </c>
      <c r="Q3011" t="str">
        <f t="shared" si="428"/>
        <v>36</v>
      </c>
      <c r="R3011" t="str">
        <f t="shared" si="429"/>
        <v>Tarifs conventionnels assurance maladie</v>
      </c>
      <c r="U3011" t="str">
        <f>"690048111"</f>
        <v>690048111</v>
      </c>
    </row>
    <row r="3012" spans="1:21" x14ac:dyDescent="0.3">
      <c r="A3012" t="str">
        <f>"930020268"</f>
        <v>930020268</v>
      </c>
      <c r="B3012" t="str">
        <f>"219 300 480 00684"</f>
        <v>219 300 480 00684</v>
      </c>
      <c r="D3012" t="str">
        <f>"CDS BOBILLOT"</f>
        <v>CDS BOBILLOT</v>
      </c>
      <c r="F3012" t="str">
        <f>"11 RUE DU SERGENT BOBILLOT"</f>
        <v>11 RUE DU SERGENT BOBILLOT</v>
      </c>
      <c r="H3012" t="str">
        <f>"93100"</f>
        <v>93100</v>
      </c>
      <c r="I3012" t="str">
        <f>"MONTREUIL"</f>
        <v>MONTREUIL</v>
      </c>
      <c r="J3012" t="str">
        <f>"01 48 70 60 97 "</f>
        <v xml:space="preserve">01 48 70 60 97 </v>
      </c>
      <c r="K3012" t="str">
        <f>"01 48 57 33 01"</f>
        <v>01 48 57 33 01</v>
      </c>
      <c r="L3012" s="1">
        <v>25204</v>
      </c>
      <c r="M3012" t="str">
        <f t="shared" si="430"/>
        <v>124</v>
      </c>
      <c r="N3012" t="str">
        <f t="shared" si="431"/>
        <v>Centre de Santé</v>
      </c>
      <c r="O3012" t="str">
        <f>"03"</f>
        <v>03</v>
      </c>
      <c r="P3012" t="str">
        <f>"Commune"</f>
        <v>Commune</v>
      </c>
      <c r="Q3012" t="str">
        <f t="shared" si="428"/>
        <v>36</v>
      </c>
      <c r="R3012" t="str">
        <f t="shared" si="429"/>
        <v>Tarifs conventionnels assurance maladie</v>
      </c>
      <c r="U3012" t="str">
        <f>"930813050"</f>
        <v>930813050</v>
      </c>
    </row>
    <row r="3013" spans="1:21" x14ac:dyDescent="0.3">
      <c r="A3013" t="str">
        <f>"830208088"</f>
        <v>830208088</v>
      </c>
      <c r="B3013" t="str">
        <f>"512 611 781 00299"</f>
        <v>512 611 781 00299</v>
      </c>
      <c r="D3013" t="str">
        <f>"CDS DENTAIRE VYV 3 SUD-EST COGOLIN"</f>
        <v>CDS DENTAIRE VYV 3 SUD-EST COGOLIN</v>
      </c>
      <c r="E3013" t="str">
        <f>"CENTRE COMMERCIAL AGORA"</f>
        <v>CENTRE COMMERCIAL AGORA</v>
      </c>
      <c r="F3013" t="str">
        <f>"8 AVENUE SIGISMOND COULET"</f>
        <v>8 AVENUE SIGISMOND COULET</v>
      </c>
      <c r="H3013" t="str">
        <f>"83310"</f>
        <v>83310</v>
      </c>
      <c r="I3013" t="str">
        <f>"COGOLIN"</f>
        <v>COGOLIN</v>
      </c>
      <c r="J3013" t="str">
        <f>"04 94 97 11 87 "</f>
        <v xml:space="preserve">04 94 97 11 87 </v>
      </c>
      <c r="K3013" t="str">
        <f>"04 94 97 83 94"</f>
        <v>04 94 97 83 94</v>
      </c>
      <c r="L3013" s="1">
        <v>25085</v>
      </c>
      <c r="M3013" t="str">
        <f t="shared" si="430"/>
        <v>124</v>
      </c>
      <c r="N3013" t="str">
        <f t="shared" si="431"/>
        <v>Centre de Santé</v>
      </c>
      <c r="O3013" t="str">
        <f>"60"</f>
        <v>60</v>
      </c>
      <c r="P3013" t="str">
        <f>"Association Loi 1901 non Reconnue d'Utilité Publique"</f>
        <v>Association Loi 1901 non Reconnue d'Utilité Publique</v>
      </c>
      <c r="Q3013" t="str">
        <f t="shared" si="428"/>
        <v>36</v>
      </c>
      <c r="R3013" t="str">
        <f t="shared" si="429"/>
        <v>Tarifs conventionnels assurance maladie</v>
      </c>
      <c r="U3013" t="str">
        <f>"840019210"</f>
        <v>840019210</v>
      </c>
    </row>
    <row r="3014" spans="1:21" x14ac:dyDescent="0.3">
      <c r="A3014" t="str">
        <f>"540000353"</f>
        <v>540000353</v>
      </c>
      <c r="B3014" t="str">
        <f>"517 405 783 00120"</f>
        <v>517 405 783 00120</v>
      </c>
      <c r="D3014" t="str">
        <f>"CENTRE DE SANTE DENTAIRE CPAM 54"</f>
        <v>CENTRE DE SANTE DENTAIRE CPAM 54</v>
      </c>
      <c r="F3014" t="str">
        <f>"20 RUE ST THIEBAUT"</f>
        <v>20 RUE ST THIEBAUT</v>
      </c>
      <c r="H3014" t="str">
        <f>"54000"</f>
        <v>54000</v>
      </c>
      <c r="I3014" t="str">
        <f>"NANCY"</f>
        <v>NANCY</v>
      </c>
      <c r="J3014" t="str">
        <f>"03 83 85 49 78 "</f>
        <v xml:space="preserve">03 83 85 49 78 </v>
      </c>
      <c r="K3014" t="str">
        <f>"03 83 85 49 71"</f>
        <v>03 83 85 49 71</v>
      </c>
      <c r="L3014" s="1">
        <v>24990</v>
      </c>
      <c r="M3014" t="str">
        <f t="shared" si="430"/>
        <v>124</v>
      </c>
      <c r="N3014" t="str">
        <f t="shared" si="431"/>
        <v>Centre de Santé</v>
      </c>
      <c r="O3014" t="str">
        <f>"40"</f>
        <v>40</v>
      </c>
      <c r="P3014" t="str">
        <f>"Régime Général de Sécurité Sociale"</f>
        <v>Régime Général de Sécurité Sociale</v>
      </c>
      <c r="Q3014" t="str">
        <f t="shared" si="428"/>
        <v>36</v>
      </c>
      <c r="R3014" t="str">
        <f t="shared" si="429"/>
        <v>Tarifs conventionnels assurance maladie</v>
      </c>
      <c r="U3014" t="str">
        <f>"540009446"</f>
        <v>540009446</v>
      </c>
    </row>
    <row r="3015" spans="1:21" x14ac:dyDescent="0.3">
      <c r="A3015" t="str">
        <f>"290006154"</f>
        <v>290006154</v>
      </c>
      <c r="B3015" t="str">
        <f>"775 576 549 00403"</f>
        <v>775 576 549 00403</v>
      </c>
      <c r="D3015" t="str">
        <f>"CDS DENTAIRE MUTUALISTE QUIMPER"</f>
        <v>CDS DENTAIRE MUTUALISTE QUIMPER</v>
      </c>
      <c r="F3015" t="str">
        <f>"2 RUE DU FRUGY"</f>
        <v>2 RUE DU FRUGY</v>
      </c>
      <c r="H3015" t="str">
        <f>"29000"</f>
        <v>29000</v>
      </c>
      <c r="I3015" t="str">
        <f>"QUIMPER"</f>
        <v>QUIMPER</v>
      </c>
      <c r="J3015" t="str">
        <f>"02 98 53 16 92 "</f>
        <v xml:space="preserve">02 98 53 16 92 </v>
      </c>
      <c r="K3015" t="str">
        <f>"02 98 53 39 55"</f>
        <v>02 98 53 39 55</v>
      </c>
      <c r="L3015" s="1">
        <v>24932</v>
      </c>
      <c r="M3015" t="str">
        <f t="shared" si="430"/>
        <v>124</v>
      </c>
      <c r="N3015" t="str">
        <f t="shared" si="431"/>
        <v>Centre de Santé</v>
      </c>
      <c r="O3015" t="str">
        <f>"47"</f>
        <v>47</v>
      </c>
      <c r="P3015" t="str">
        <f>"Société Mutualiste"</f>
        <v>Société Mutualiste</v>
      </c>
      <c r="Q3015" t="str">
        <f t="shared" si="428"/>
        <v>36</v>
      </c>
      <c r="R3015" t="str">
        <f t="shared" si="429"/>
        <v>Tarifs conventionnels assurance maladie</v>
      </c>
      <c r="U3015" t="str">
        <f>"290007574"</f>
        <v>290007574</v>
      </c>
    </row>
    <row r="3016" spans="1:21" x14ac:dyDescent="0.3">
      <c r="A3016" t="str">
        <f>"170018626"</f>
        <v>170018626</v>
      </c>
      <c r="B3016" t="str">
        <f>"781 326 954 00059"</f>
        <v>781 326 954 00059</v>
      </c>
      <c r="D3016" t="str">
        <f>"CENTRE DE SANTE POLYVALENT"</f>
        <v>CENTRE DE SANTE POLYVALENT</v>
      </c>
      <c r="F3016" t="str">
        <f>"19 AVENUE GAMBETTA"</f>
        <v>19 AVENUE GAMBETTA</v>
      </c>
      <c r="H3016" t="str">
        <f>"17300"</f>
        <v>17300</v>
      </c>
      <c r="I3016" t="str">
        <f>"ROCHEFORT"</f>
        <v>ROCHEFORT</v>
      </c>
      <c r="J3016" t="str">
        <f>"05 46 87 28 46 "</f>
        <v xml:space="preserve">05 46 87 28 46 </v>
      </c>
      <c r="K3016" t="str">
        <f>"05 46 99 25 11"</f>
        <v>05 46 99 25 11</v>
      </c>
      <c r="L3016" s="1">
        <v>24869</v>
      </c>
      <c r="M3016" t="str">
        <f t="shared" si="430"/>
        <v>124</v>
      </c>
      <c r="N3016" t="str">
        <f t="shared" si="431"/>
        <v>Centre de Santé</v>
      </c>
      <c r="O3016" t="str">
        <f>"47"</f>
        <v>47</v>
      </c>
      <c r="P3016" t="str">
        <f>"Société Mutualiste"</f>
        <v>Société Mutualiste</v>
      </c>
      <c r="Q3016" t="str">
        <f t="shared" si="428"/>
        <v>36</v>
      </c>
      <c r="R3016" t="str">
        <f t="shared" si="429"/>
        <v>Tarifs conventionnels assurance maladie</v>
      </c>
      <c r="U3016" t="str">
        <f>"170018360"</f>
        <v>170018360</v>
      </c>
    </row>
    <row r="3017" spans="1:21" x14ac:dyDescent="0.3">
      <c r="A3017" t="str">
        <f>"940019565"</f>
        <v>940019565</v>
      </c>
      <c r="B3017" t="str">
        <f>"775 657 158 00181"</f>
        <v>775 657 158 00181</v>
      </c>
      <c r="D3017" t="str">
        <f>"CDS MEDICO SOCIAL DES HALLES"</f>
        <v>CDS MEDICO SOCIAL DES HALLES</v>
      </c>
      <c r="F3017" t="str">
        <f>"10 RUE DU SEMINAIRE"</f>
        <v>10 RUE DU SEMINAIRE</v>
      </c>
      <c r="H3017" t="str">
        <f>"94550"</f>
        <v>94550</v>
      </c>
      <c r="I3017" t="str">
        <f>"CHEVILLY LARUE"</f>
        <v>CHEVILLY LARUE</v>
      </c>
      <c r="J3017" t="str">
        <f>"01 46 87 36 18 "</f>
        <v xml:space="preserve">01 46 87 36 18 </v>
      </c>
      <c r="K3017" t="str">
        <f>"01 46 87 34 38"</f>
        <v>01 46 87 34 38</v>
      </c>
      <c r="L3017" s="1">
        <v>24869</v>
      </c>
      <c r="M3017" t="str">
        <f t="shared" si="430"/>
        <v>124</v>
      </c>
      <c r="N3017" t="str">
        <f t="shared" si="431"/>
        <v>Centre de Santé</v>
      </c>
      <c r="O3017" t="str">
        <f>"60"</f>
        <v>60</v>
      </c>
      <c r="P3017" t="str">
        <f>"Association Loi 1901 non Reconnue d'Utilité Publique"</f>
        <v>Association Loi 1901 non Reconnue d'Utilité Publique</v>
      </c>
      <c r="Q3017" t="str">
        <f t="shared" si="428"/>
        <v>36</v>
      </c>
      <c r="R3017" t="str">
        <f t="shared" si="429"/>
        <v>Tarifs conventionnels assurance maladie</v>
      </c>
      <c r="U3017" t="str">
        <f>"940019557"</f>
        <v>940019557</v>
      </c>
    </row>
    <row r="3018" spans="1:21" x14ac:dyDescent="0.3">
      <c r="A3018" t="str">
        <f>"190002626"</f>
        <v>190002626</v>
      </c>
      <c r="D3018" t="str">
        <f>"CENTRE DE SOINS INFIRMIERS"</f>
        <v>CENTRE DE SOINS INFIRMIERS</v>
      </c>
      <c r="F3018" t="str">
        <f>"1 RUE DES LUCIOLES"</f>
        <v>1 RUE DES LUCIOLES</v>
      </c>
      <c r="H3018" t="str">
        <f>"19190"</f>
        <v>19190</v>
      </c>
      <c r="I3018" t="str">
        <f>"BEYNAT"</f>
        <v>BEYNAT</v>
      </c>
      <c r="J3018" t="str">
        <f>"05 55 92 69 52 "</f>
        <v xml:space="preserve">05 55 92 69 52 </v>
      </c>
      <c r="K3018" t="str">
        <f>"05 55 18 79 24"</f>
        <v>05 55 18 79 24</v>
      </c>
      <c r="L3018" s="1">
        <v>24839</v>
      </c>
      <c r="M3018" t="str">
        <f t="shared" si="430"/>
        <v>124</v>
      </c>
      <c r="N3018" t="str">
        <f t="shared" si="431"/>
        <v>Centre de Santé</v>
      </c>
      <c r="O3018" t="str">
        <f>"60"</f>
        <v>60</v>
      </c>
      <c r="P3018" t="str">
        <f>"Association Loi 1901 non Reconnue d'Utilité Publique"</f>
        <v>Association Loi 1901 non Reconnue d'Utilité Publique</v>
      </c>
      <c r="Q3018" t="str">
        <f t="shared" si="428"/>
        <v>36</v>
      </c>
      <c r="R3018" t="str">
        <f t="shared" si="429"/>
        <v>Tarifs conventionnels assurance maladie</v>
      </c>
      <c r="U3018" t="str">
        <f>"190012336"</f>
        <v>190012336</v>
      </c>
    </row>
    <row r="3019" spans="1:21" x14ac:dyDescent="0.3">
      <c r="A3019" t="str">
        <f>"330783002"</f>
        <v>330783002</v>
      </c>
      <c r="B3019" t="str">
        <f>"421 576 422 00057"</f>
        <v>421 576 422 00057</v>
      </c>
      <c r="D3019" t="str">
        <f>"CENTRE DE SANTE INFIRMIER DU REOLAIS"</f>
        <v>CENTRE DE SANTE INFIRMIER DU REOLAIS</v>
      </c>
      <c r="F3019" t="str">
        <f>"7 RUE ANDRE BENAC"</f>
        <v>7 RUE ANDRE BENAC</v>
      </c>
      <c r="H3019" t="str">
        <f>"33190"</f>
        <v>33190</v>
      </c>
      <c r="I3019" t="str">
        <f>"LA REOLE"</f>
        <v>LA REOLE</v>
      </c>
      <c r="J3019" t="str">
        <f>"05 56 61 04 25 "</f>
        <v xml:space="preserve">05 56 61 04 25 </v>
      </c>
      <c r="K3019" t="str">
        <f>"05 56 61 89 27"</f>
        <v>05 56 61 89 27</v>
      </c>
      <c r="L3019" s="1">
        <v>24838</v>
      </c>
      <c r="M3019" t="str">
        <f t="shared" si="430"/>
        <v>124</v>
      </c>
      <c r="N3019" t="str">
        <f t="shared" si="431"/>
        <v>Centre de Santé</v>
      </c>
      <c r="O3019" t="str">
        <f>"61"</f>
        <v>61</v>
      </c>
      <c r="P3019" t="str">
        <f>"Association Loi 1901 Reconnue d'Utilité Publique"</f>
        <v>Association Loi 1901 Reconnue d'Utilité Publique</v>
      </c>
      <c r="Q3019" t="str">
        <f t="shared" si="428"/>
        <v>36</v>
      </c>
      <c r="R3019" t="str">
        <f t="shared" si="429"/>
        <v>Tarifs conventionnels assurance maladie</v>
      </c>
      <c r="U3019" t="str">
        <f>"330001074"</f>
        <v>330001074</v>
      </c>
    </row>
    <row r="3020" spans="1:21" x14ac:dyDescent="0.3">
      <c r="A3020" t="str">
        <f>"140017286"</f>
        <v>140017286</v>
      </c>
      <c r="B3020" t="str">
        <f>"775 685 316 00595"</f>
        <v>775 685 316 00595</v>
      </c>
      <c r="D3020" t="str">
        <f>"CENTRE DE SANTE POLYVALENT FILIERIS"</f>
        <v>CENTRE DE SANTE POLYVALENT FILIERIS</v>
      </c>
      <c r="F3020" t="str">
        <f>"25 RUE DU VILLAGE"</f>
        <v>25 RUE DU VILLAGE</v>
      </c>
      <c r="H3020" t="str">
        <f>"14420"</f>
        <v>14420</v>
      </c>
      <c r="I3020" t="str">
        <f>"POTIGNY"</f>
        <v>POTIGNY</v>
      </c>
      <c r="J3020" t="str">
        <f>"02 31 90 82 87 "</f>
        <v xml:space="preserve">02 31 90 82 87 </v>
      </c>
      <c r="L3020" s="1">
        <v>24808</v>
      </c>
      <c r="M3020" t="str">
        <f t="shared" si="430"/>
        <v>124</v>
      </c>
      <c r="N3020" t="str">
        <f t="shared" si="431"/>
        <v>Centre de Santé</v>
      </c>
      <c r="O3020" t="str">
        <f>"41"</f>
        <v>41</v>
      </c>
      <c r="P3020" t="str">
        <f>"Régime Spécial de Sécurité Sociale"</f>
        <v>Régime Spécial de Sécurité Sociale</v>
      </c>
      <c r="Q3020" t="str">
        <f t="shared" si="428"/>
        <v>36</v>
      </c>
      <c r="R3020" t="str">
        <f t="shared" si="429"/>
        <v>Tarifs conventionnels assurance maladie</v>
      </c>
      <c r="U3020" t="str">
        <f>"750050759"</f>
        <v>750050759</v>
      </c>
    </row>
    <row r="3021" spans="1:21" x14ac:dyDescent="0.3">
      <c r="A3021" t="str">
        <f>"220018097"</f>
        <v>220018097</v>
      </c>
      <c r="B3021" t="str">
        <f>"519 033 989 00186"</f>
        <v>519 033 989 00186</v>
      </c>
      <c r="D3021" t="str">
        <f>"CDS DENTAIRE MUTUALISTE LANNION"</f>
        <v>CDS DENTAIRE MUTUALISTE LANNION</v>
      </c>
      <c r="F3021" t="str">
        <f>"20 RUE JEAN SAVIDAN"</f>
        <v>20 RUE JEAN SAVIDAN</v>
      </c>
      <c r="H3021" t="str">
        <f>"22300"</f>
        <v>22300</v>
      </c>
      <c r="I3021" t="str">
        <f>"LANNION"</f>
        <v>LANNION</v>
      </c>
      <c r="J3021" t="str">
        <f>"02 96 37 41 39 "</f>
        <v xml:space="preserve">02 96 37 41 39 </v>
      </c>
      <c r="K3021" t="str">
        <f>"02 96 37 70 78"</f>
        <v>02 96 37 70 78</v>
      </c>
      <c r="L3021" s="1">
        <v>24800</v>
      </c>
      <c r="M3021" t="str">
        <f t="shared" si="430"/>
        <v>124</v>
      </c>
      <c r="N3021" t="str">
        <f t="shared" si="431"/>
        <v>Centre de Santé</v>
      </c>
      <c r="O3021" t="str">
        <f>"47"</f>
        <v>47</v>
      </c>
      <c r="P3021" t="str">
        <f>"Société Mutualiste"</f>
        <v>Société Mutualiste</v>
      </c>
      <c r="Q3021" t="str">
        <f t="shared" si="428"/>
        <v>36</v>
      </c>
      <c r="R3021" t="str">
        <f t="shared" si="429"/>
        <v>Tarifs conventionnels assurance maladie</v>
      </c>
      <c r="U3021" t="str">
        <f>"560030710"</f>
        <v>560030710</v>
      </c>
    </row>
    <row r="3022" spans="1:21" x14ac:dyDescent="0.3">
      <c r="A3022" t="str">
        <f>"540002391"</f>
        <v>540002391</v>
      </c>
      <c r="B3022" t="str">
        <f>"783 374 754 00019"</f>
        <v>783 374 754 00019</v>
      </c>
      <c r="D3022" t="str">
        <f>"CENTRE DE SOINS INFIRMIERS DE L'ALSAD"</f>
        <v>CENTRE DE SOINS INFIRMIERS DE L'ALSAD</v>
      </c>
      <c r="F3022" t="str">
        <f>"2 RUE SAINTE ODILE"</f>
        <v>2 RUE SAINTE ODILE</v>
      </c>
      <c r="H3022" t="str">
        <f>"54600"</f>
        <v>54600</v>
      </c>
      <c r="I3022" t="str">
        <f>"VILLERS LES NANCY"</f>
        <v>VILLERS LES NANCY</v>
      </c>
      <c r="J3022" t="str">
        <f>"03 83 27 08 38 "</f>
        <v xml:space="preserve">03 83 27 08 38 </v>
      </c>
      <c r="K3022" t="str">
        <f>"03 83 90 20 77"</f>
        <v>03 83 90 20 77</v>
      </c>
      <c r="L3022" s="1">
        <v>24786</v>
      </c>
      <c r="M3022" t="str">
        <f t="shared" si="430"/>
        <v>124</v>
      </c>
      <c r="N3022" t="str">
        <f t="shared" si="431"/>
        <v>Centre de Santé</v>
      </c>
      <c r="O3022" t="str">
        <f>"60"</f>
        <v>60</v>
      </c>
      <c r="P3022" t="str">
        <f>"Association Loi 1901 non Reconnue d'Utilité Publique"</f>
        <v>Association Loi 1901 non Reconnue d'Utilité Publique</v>
      </c>
      <c r="Q3022" t="str">
        <f t="shared" si="428"/>
        <v>36</v>
      </c>
      <c r="R3022" t="str">
        <f t="shared" si="429"/>
        <v>Tarifs conventionnels assurance maladie</v>
      </c>
      <c r="U3022" t="str">
        <f>"540001161"</f>
        <v>540001161</v>
      </c>
    </row>
    <row r="3023" spans="1:21" x14ac:dyDescent="0.3">
      <c r="A3023" t="str">
        <f>"140001157"</f>
        <v>140001157</v>
      </c>
      <c r="B3023" t="str">
        <f>"794 994 277 00042"</f>
        <v>794 994 277 00042</v>
      </c>
      <c r="D3023" t="str">
        <f>"CENTRE DE SANTE DENTAIRE - LISIEUX"</f>
        <v>CENTRE DE SANTE DENTAIRE - LISIEUX</v>
      </c>
      <c r="F3023" t="str">
        <f>"74 RUE HENRI CHERON"</f>
        <v>74 RUE HENRI CHERON</v>
      </c>
      <c r="H3023" t="str">
        <f>"14100"</f>
        <v>14100</v>
      </c>
      <c r="I3023" t="str">
        <f>"LISIEUX"</f>
        <v>LISIEUX</v>
      </c>
      <c r="J3023" t="str">
        <f>"02 31 62 16 04 "</f>
        <v xml:space="preserve">02 31 62 16 04 </v>
      </c>
      <c r="L3023" s="1">
        <v>24746</v>
      </c>
      <c r="M3023" t="str">
        <f t="shared" si="430"/>
        <v>124</v>
      </c>
      <c r="N3023" t="str">
        <f t="shared" si="431"/>
        <v>Centre de Santé</v>
      </c>
      <c r="O3023" t="str">
        <f>"47"</f>
        <v>47</v>
      </c>
      <c r="P3023" t="str">
        <f>"Société Mutualiste"</f>
        <v>Société Mutualiste</v>
      </c>
      <c r="Q3023" t="str">
        <f t="shared" si="428"/>
        <v>36</v>
      </c>
      <c r="R3023" t="str">
        <f t="shared" si="429"/>
        <v>Tarifs conventionnels assurance maladie</v>
      </c>
      <c r="U3023" t="str">
        <f>"760000539"</f>
        <v>760000539</v>
      </c>
    </row>
    <row r="3024" spans="1:21" x14ac:dyDescent="0.3">
      <c r="A3024" t="str">
        <f>"930010475"</f>
        <v>930010475</v>
      </c>
      <c r="B3024" t="str">
        <f>"219 300 555 00329"</f>
        <v>219 300 555 00329</v>
      </c>
      <c r="D3024" t="str">
        <f>"CDS MUNICIPAL MAURICE TENINE"</f>
        <v>CDS MUNICIPAL MAURICE TENINE</v>
      </c>
      <c r="F3024" t="str">
        <f>"2 AVENUE AIME CESAIRE"</f>
        <v>2 AVENUE AIME CESAIRE</v>
      </c>
      <c r="H3024" t="str">
        <f>"93500"</f>
        <v>93500</v>
      </c>
      <c r="I3024" t="str">
        <f>"PANTIN"</f>
        <v>PANTIN</v>
      </c>
      <c r="J3024" t="str">
        <f>"01 49 15 37 40 "</f>
        <v xml:space="preserve">01 49 15 37 40 </v>
      </c>
      <c r="K3024" t="str">
        <f>"01 49 15 73 27"</f>
        <v>01 49 15 73 27</v>
      </c>
      <c r="L3024" s="1">
        <v>24532</v>
      </c>
      <c r="M3024" t="str">
        <f t="shared" si="430"/>
        <v>124</v>
      </c>
      <c r="N3024" t="str">
        <f t="shared" si="431"/>
        <v>Centre de Santé</v>
      </c>
      <c r="O3024" t="str">
        <f>"03"</f>
        <v>03</v>
      </c>
      <c r="P3024" t="str">
        <f>"Commune"</f>
        <v>Commune</v>
      </c>
      <c r="Q3024" t="str">
        <f t="shared" si="428"/>
        <v>36</v>
      </c>
      <c r="R3024" t="str">
        <f t="shared" si="429"/>
        <v>Tarifs conventionnels assurance maladie</v>
      </c>
      <c r="U3024" t="str">
        <f>"930813092"</f>
        <v>930813092</v>
      </c>
    </row>
    <row r="3025" spans="1:21" x14ac:dyDescent="0.3">
      <c r="A3025" t="str">
        <f>"540002797"</f>
        <v>540002797</v>
      </c>
      <c r="B3025" t="str">
        <f>"444 379 903 00024"</f>
        <v>444 379 903 00024</v>
      </c>
      <c r="D3025" t="str">
        <f>"CENTRE DE SANTE DENTAIRE MUTUALISTE"</f>
        <v>CENTRE DE SANTE DENTAIRE MUTUALISTE</v>
      </c>
      <c r="F3025" t="str">
        <f>"29 AVENUE DE SAINTIGNON"</f>
        <v>29 AVENUE DE SAINTIGNON</v>
      </c>
      <c r="H3025" t="str">
        <f>"54400"</f>
        <v>54400</v>
      </c>
      <c r="I3025" t="str">
        <f>"LONGWY"</f>
        <v>LONGWY</v>
      </c>
      <c r="J3025" t="str">
        <f>"03 82 24 39 73 "</f>
        <v xml:space="preserve">03 82 24 39 73 </v>
      </c>
      <c r="K3025" t="str">
        <f>"03 82 39 23 85"</f>
        <v>03 82 39 23 85</v>
      </c>
      <c r="L3025" s="1">
        <v>24473</v>
      </c>
      <c r="M3025" t="str">
        <f t="shared" si="430"/>
        <v>124</v>
      </c>
      <c r="N3025" t="str">
        <f t="shared" si="431"/>
        <v>Centre de Santé</v>
      </c>
      <c r="O3025" t="str">
        <f>"47"</f>
        <v>47</v>
      </c>
      <c r="P3025" t="str">
        <f>"Société Mutualiste"</f>
        <v>Société Mutualiste</v>
      </c>
      <c r="Q3025" t="str">
        <f t="shared" si="428"/>
        <v>36</v>
      </c>
      <c r="R3025" t="str">
        <f t="shared" si="429"/>
        <v>Tarifs conventionnels assurance maladie</v>
      </c>
      <c r="U3025" t="str">
        <f>"540008869"</f>
        <v>540008869</v>
      </c>
    </row>
    <row r="3026" spans="1:21" x14ac:dyDescent="0.3">
      <c r="A3026" t="str">
        <f>"540012499"</f>
        <v>540012499</v>
      </c>
      <c r="B3026" t="str">
        <f>"775 685 316 00215"</f>
        <v>775 685 316 00215</v>
      </c>
      <c r="D3026" t="str">
        <f>"CSP FILIERIS DE AUBOUE"</f>
        <v>CSP FILIERIS DE AUBOUE</v>
      </c>
      <c r="F3026" t="str">
        <f>"10 PARC LEONOV"</f>
        <v>10 PARC LEONOV</v>
      </c>
      <c r="H3026" t="str">
        <f>"54580"</f>
        <v>54580</v>
      </c>
      <c r="I3026" t="str">
        <f>"AUBOUE"</f>
        <v>AUBOUE</v>
      </c>
      <c r="J3026" t="str">
        <f>"03 82 22 11 30 "</f>
        <v xml:space="preserve">03 82 22 11 30 </v>
      </c>
      <c r="L3026" s="1">
        <v>24473</v>
      </c>
      <c r="M3026" t="str">
        <f t="shared" si="430"/>
        <v>124</v>
      </c>
      <c r="N3026" t="str">
        <f t="shared" si="431"/>
        <v>Centre de Santé</v>
      </c>
      <c r="O3026" t="str">
        <f>"41"</f>
        <v>41</v>
      </c>
      <c r="P3026" t="str">
        <f>"Régime Spécial de Sécurité Sociale"</f>
        <v>Régime Spécial de Sécurité Sociale</v>
      </c>
      <c r="Q3026" t="str">
        <f t="shared" si="428"/>
        <v>36</v>
      </c>
      <c r="R3026" t="str">
        <f t="shared" si="429"/>
        <v>Tarifs conventionnels assurance maladie</v>
      </c>
      <c r="U3026" t="str">
        <f>"750050759"</f>
        <v>750050759</v>
      </c>
    </row>
    <row r="3027" spans="1:21" x14ac:dyDescent="0.3">
      <c r="A3027" t="str">
        <f>"750012213"</f>
        <v>750012213</v>
      </c>
      <c r="B3027" t="str">
        <f>"323 841 353 00911"</f>
        <v>323 841 353 00911</v>
      </c>
      <c r="D3027" t="str">
        <f>"CDS CENTRE D ORTHODONTIE DE PARIS"</f>
        <v>CDS CENTRE D ORTHODONTIE DE PARIS</v>
      </c>
      <c r="F3027" t="str">
        <f>"96 RUE FAUBOURG DU TEMPLE"</f>
        <v>96 RUE FAUBOURG DU TEMPLE</v>
      </c>
      <c r="H3027" t="str">
        <f>"75011"</f>
        <v>75011</v>
      </c>
      <c r="I3027" t="str">
        <f>"PARIS"</f>
        <v>PARIS</v>
      </c>
      <c r="J3027" t="str">
        <f>"01 53 36 38 00 "</f>
        <v xml:space="preserve">01 53 36 38 00 </v>
      </c>
      <c r="K3027" t="str">
        <f>"01 53 36 38 42"</f>
        <v>01 53 36 38 42</v>
      </c>
      <c r="L3027" s="1">
        <v>24473</v>
      </c>
      <c r="M3027" t="str">
        <f t="shared" si="430"/>
        <v>124</v>
      </c>
      <c r="N3027" t="str">
        <f t="shared" si="431"/>
        <v>Centre de Santé</v>
      </c>
      <c r="O3027" t="str">
        <f>"40"</f>
        <v>40</v>
      </c>
      <c r="P3027" t="str">
        <f>"Régime Général de Sécurité Sociale"</f>
        <v>Régime Général de Sécurité Sociale</v>
      </c>
      <c r="Q3027" t="str">
        <f t="shared" si="428"/>
        <v>36</v>
      </c>
      <c r="R3027" t="str">
        <f t="shared" si="429"/>
        <v>Tarifs conventionnels assurance maladie</v>
      </c>
      <c r="U3027" t="str">
        <f>"750720856"</f>
        <v>750720856</v>
      </c>
    </row>
    <row r="3028" spans="1:21" x14ac:dyDescent="0.3">
      <c r="A3028" t="str">
        <f>"350002838"</f>
        <v>350002838</v>
      </c>
      <c r="B3028" t="str">
        <f>"395 171 226 00180"</f>
        <v>395 171 226 00180</v>
      </c>
      <c r="D3028" t="str">
        <f>"CDSI MUTUALISTE RENNES GAYEULLES"</f>
        <v>CDSI MUTUALISTE RENNES GAYEULLES</v>
      </c>
      <c r="F3028" t="str">
        <f>"31 RUE GUY ROPARTZ"</f>
        <v>31 RUE GUY ROPARTZ</v>
      </c>
      <c r="H3028" t="str">
        <f>"35700"</f>
        <v>35700</v>
      </c>
      <c r="I3028" t="str">
        <f>"RENNES"</f>
        <v>RENNES</v>
      </c>
      <c r="J3028" t="str">
        <f>"02 99 38 00 38 "</f>
        <v xml:space="preserve">02 99 38 00 38 </v>
      </c>
      <c r="L3028" s="1">
        <v>24351</v>
      </c>
      <c r="M3028" t="str">
        <f t="shared" si="430"/>
        <v>124</v>
      </c>
      <c r="N3028" t="str">
        <f t="shared" si="431"/>
        <v>Centre de Santé</v>
      </c>
      <c r="O3028" t="str">
        <f>"47"</f>
        <v>47</v>
      </c>
      <c r="P3028" t="str">
        <f>"Société Mutualiste"</f>
        <v>Société Mutualiste</v>
      </c>
      <c r="Q3028" t="str">
        <f t="shared" si="428"/>
        <v>36</v>
      </c>
      <c r="R3028" t="str">
        <f t="shared" si="429"/>
        <v>Tarifs conventionnels assurance maladie</v>
      </c>
      <c r="U3028" t="str">
        <f>"560025025"</f>
        <v>560025025</v>
      </c>
    </row>
    <row r="3029" spans="1:21" x14ac:dyDescent="0.3">
      <c r="A3029" t="str">
        <f>"350002978"</f>
        <v>350002978</v>
      </c>
      <c r="B3029" t="str">
        <f>"519 033 989 00160"</f>
        <v>519 033 989 00160</v>
      </c>
      <c r="D3029" t="str">
        <f>"CDS DENTAIRE MUTUALISTE MAUREPAS"</f>
        <v>CDS DENTAIRE MUTUALISTE MAUREPAS</v>
      </c>
      <c r="E3029" t="str">
        <f>"IMMEUBLE MEIOZA"</f>
        <v>IMMEUBLE MEIOZA</v>
      </c>
      <c r="F3029" t="str">
        <f>"31 RUE GUY ROPARTZ"</f>
        <v>31 RUE GUY ROPARTZ</v>
      </c>
      <c r="H3029" t="str">
        <f>"35700"</f>
        <v>35700</v>
      </c>
      <c r="I3029" t="str">
        <f>"RENNES"</f>
        <v>RENNES</v>
      </c>
      <c r="J3029" t="str">
        <f>"02 99 36 05 31 "</f>
        <v xml:space="preserve">02 99 36 05 31 </v>
      </c>
      <c r="K3029" t="str">
        <f>"02 99 36 50 93"</f>
        <v>02 99 36 50 93</v>
      </c>
      <c r="L3029" s="1">
        <v>24259</v>
      </c>
      <c r="M3029" t="str">
        <f t="shared" si="430"/>
        <v>124</v>
      </c>
      <c r="N3029" t="str">
        <f t="shared" si="431"/>
        <v>Centre de Santé</v>
      </c>
      <c r="O3029" t="str">
        <f>"47"</f>
        <v>47</v>
      </c>
      <c r="P3029" t="str">
        <f>"Société Mutualiste"</f>
        <v>Société Mutualiste</v>
      </c>
      <c r="Q3029" t="str">
        <f t="shared" si="428"/>
        <v>36</v>
      </c>
      <c r="R3029" t="str">
        <f t="shared" si="429"/>
        <v>Tarifs conventionnels assurance maladie</v>
      </c>
      <c r="U3029" t="str">
        <f>"560030710"</f>
        <v>560030710</v>
      </c>
    </row>
    <row r="3030" spans="1:21" x14ac:dyDescent="0.3">
      <c r="A3030" t="str">
        <f>"910010065"</f>
        <v>910010065</v>
      </c>
      <c r="B3030" t="str">
        <f>"219 101 748 00503"</f>
        <v>219 101 748 00503</v>
      </c>
      <c r="D3030" t="str">
        <f>"CDS MEDICO SOCIAL MUNICIPAL CORBEIL"</f>
        <v>CDS MEDICO SOCIAL MUNICIPAL CORBEIL</v>
      </c>
      <c r="F3030" t="str">
        <f>"18 RUE DU GENERAL LECLERC"</f>
        <v>18 RUE DU GENERAL LECLERC</v>
      </c>
      <c r="H3030" t="str">
        <f>"91100"</f>
        <v>91100</v>
      </c>
      <c r="I3030" t="str">
        <f>"CORBEIL ESSONNES"</f>
        <v>CORBEIL ESSONNES</v>
      </c>
      <c r="J3030" t="str">
        <f>"01 60 89 74 33 "</f>
        <v xml:space="preserve">01 60 89 74 33 </v>
      </c>
      <c r="K3030" t="str">
        <f>"01 60 89 74 22"</f>
        <v>01 60 89 74 22</v>
      </c>
      <c r="L3030" s="1">
        <v>24201</v>
      </c>
      <c r="M3030" t="str">
        <f t="shared" si="430"/>
        <v>124</v>
      </c>
      <c r="N3030" t="str">
        <f t="shared" si="431"/>
        <v>Centre de Santé</v>
      </c>
      <c r="O3030" t="str">
        <f>"02"</f>
        <v>02</v>
      </c>
      <c r="P3030" t="str">
        <f>"Département"</f>
        <v>Département</v>
      </c>
      <c r="Q3030" t="str">
        <f t="shared" si="428"/>
        <v>36</v>
      </c>
      <c r="R3030" t="str">
        <f t="shared" si="429"/>
        <v>Tarifs conventionnels assurance maladie</v>
      </c>
      <c r="U3030" t="str">
        <f>"910806439"</f>
        <v>910806439</v>
      </c>
    </row>
    <row r="3031" spans="1:21" x14ac:dyDescent="0.3">
      <c r="A3031" t="str">
        <f>"590803334"</f>
        <v>590803334</v>
      </c>
      <c r="B3031" t="str">
        <f>"775 685 316 01866"</f>
        <v>775 685 316 01866</v>
      </c>
      <c r="D3031" t="str">
        <f>"CENTRE DE SANTÉ DE LALAING"</f>
        <v>CENTRE DE SANTÉ DE LALAING</v>
      </c>
      <c r="E3031" t="str">
        <f>"LE KINTROM"</f>
        <v>LE KINTROM</v>
      </c>
      <c r="F3031" t="str">
        <f>"RUE ROSEMBERG"</f>
        <v>RUE ROSEMBERG</v>
      </c>
      <c r="H3031" t="str">
        <f>"59167"</f>
        <v>59167</v>
      </c>
      <c r="I3031" t="str">
        <f>"LALLAING"</f>
        <v>LALLAING</v>
      </c>
      <c r="J3031" t="str">
        <f>"03 21 08 69 70 "</f>
        <v xml:space="preserve">03 21 08 69 70 </v>
      </c>
      <c r="L3031" s="1">
        <v>24124</v>
      </c>
      <c r="M3031" t="str">
        <f t="shared" si="430"/>
        <v>124</v>
      </c>
      <c r="N3031" t="str">
        <f t="shared" si="431"/>
        <v>Centre de Santé</v>
      </c>
      <c r="O3031" t="str">
        <f>"41"</f>
        <v>41</v>
      </c>
      <c r="P3031" t="str">
        <f>"Régime Spécial de Sécurité Sociale"</f>
        <v>Régime Spécial de Sécurité Sociale</v>
      </c>
      <c r="Q3031" t="str">
        <f t="shared" si="428"/>
        <v>36</v>
      </c>
      <c r="R3031" t="str">
        <f t="shared" si="429"/>
        <v>Tarifs conventionnels assurance maladie</v>
      </c>
      <c r="U3031" t="str">
        <f>"750050759"</f>
        <v>750050759</v>
      </c>
    </row>
    <row r="3032" spans="1:21" x14ac:dyDescent="0.3">
      <c r="A3032" t="str">
        <f>"540009537"</f>
        <v>540009537</v>
      </c>
      <c r="B3032" t="str">
        <f>"783 356 231 00028"</f>
        <v>783 356 231 00028</v>
      </c>
      <c r="D3032" t="str">
        <f>"CENTRE DE SOINS INFIRMIERS BRANCION"</f>
        <v>CENTRE DE SOINS INFIRMIERS BRANCION</v>
      </c>
      <c r="E3032" t="str">
        <f>"CENTRE SOCIAL BRANCION"</f>
        <v>CENTRE SOCIAL BRANCION</v>
      </c>
      <c r="F3032" t="str">
        <f>"11 RUE CARNOT"</f>
        <v>11 RUE CARNOT</v>
      </c>
      <c r="H3032" t="str">
        <f>"54200"</f>
        <v>54200</v>
      </c>
      <c r="I3032" t="str">
        <f>"ROYAUMEIX"</f>
        <v>ROYAUMEIX</v>
      </c>
      <c r="J3032" t="str">
        <f>"03 83 62 87 23 "</f>
        <v xml:space="preserve">03 83 62 87 23 </v>
      </c>
      <c r="K3032" t="str">
        <f>"03 83 62 89 04"</f>
        <v>03 83 62 89 04</v>
      </c>
      <c r="L3032" s="1">
        <v>24108</v>
      </c>
      <c r="M3032" t="str">
        <f t="shared" si="430"/>
        <v>124</v>
      </c>
      <c r="N3032" t="str">
        <f t="shared" si="431"/>
        <v>Centre de Santé</v>
      </c>
      <c r="O3032" t="str">
        <f>"60"</f>
        <v>60</v>
      </c>
      <c r="P3032" t="str">
        <f>"Association Loi 1901 non Reconnue d'Utilité Publique"</f>
        <v>Association Loi 1901 non Reconnue d'Utilité Publique</v>
      </c>
      <c r="Q3032" t="str">
        <f t="shared" si="428"/>
        <v>36</v>
      </c>
      <c r="R3032" t="str">
        <f t="shared" si="429"/>
        <v>Tarifs conventionnels assurance maladie</v>
      </c>
      <c r="U3032" t="str">
        <f>"540008554"</f>
        <v>540008554</v>
      </c>
    </row>
    <row r="3033" spans="1:21" x14ac:dyDescent="0.3">
      <c r="A3033" t="str">
        <f>"620108282"</f>
        <v>620108282</v>
      </c>
      <c r="B3033" t="str">
        <f>"775 685 316 02633"</f>
        <v>775 685 316 02633</v>
      </c>
      <c r="D3033" t="str">
        <f>"CSD FILIERIS DE OIGNIES"</f>
        <v>CSD FILIERIS DE OIGNIES</v>
      </c>
      <c r="F3033" t="str">
        <f>"59 RUE MARCEL SEMBAT ANGLE PASTEUR"</f>
        <v>59 RUE MARCEL SEMBAT ANGLE PASTEUR</v>
      </c>
      <c r="H3033" t="str">
        <f>"62590"</f>
        <v>62590</v>
      </c>
      <c r="I3033" t="str">
        <f>"OIGNIES"</f>
        <v>OIGNIES</v>
      </c>
      <c r="J3033" t="str">
        <f>"03 21 77 44 81 "</f>
        <v xml:space="preserve">03 21 77 44 81 </v>
      </c>
      <c r="L3033" s="1">
        <v>24108</v>
      </c>
      <c r="M3033" t="str">
        <f t="shared" si="430"/>
        <v>124</v>
      </c>
      <c r="N3033" t="str">
        <f t="shared" si="431"/>
        <v>Centre de Santé</v>
      </c>
      <c r="O3033" t="str">
        <f>"41"</f>
        <v>41</v>
      </c>
      <c r="P3033" t="str">
        <f>"Régime Spécial de Sécurité Sociale"</f>
        <v>Régime Spécial de Sécurité Sociale</v>
      </c>
      <c r="Q3033" t="str">
        <f t="shared" si="428"/>
        <v>36</v>
      </c>
      <c r="R3033" t="str">
        <f t="shared" si="429"/>
        <v>Tarifs conventionnels assurance maladie</v>
      </c>
      <c r="U3033" t="str">
        <f>"750050759"</f>
        <v>750050759</v>
      </c>
    </row>
    <row r="3034" spans="1:21" x14ac:dyDescent="0.3">
      <c r="A3034" t="str">
        <f>"570011684"</f>
        <v>570011684</v>
      </c>
      <c r="B3034" t="str">
        <f>"775 685 316 04050"</f>
        <v>775 685 316 04050</v>
      </c>
      <c r="D3034" t="str">
        <f>"CSP FILIERIS DE FOLSCHVILLER"</f>
        <v>CSP FILIERIS DE FOLSCHVILLER</v>
      </c>
      <c r="F3034" t="str">
        <f>"73 PLACE DU MARCHE"</f>
        <v>73 PLACE DU MARCHE</v>
      </c>
      <c r="H3034" t="str">
        <f>"57730"</f>
        <v>57730</v>
      </c>
      <c r="I3034" t="str">
        <f>"FOLSCHVILLER"</f>
        <v>FOLSCHVILLER</v>
      </c>
      <c r="J3034" t="str">
        <f>"03 87 92 00 34 "</f>
        <v xml:space="preserve">03 87 92 00 34 </v>
      </c>
      <c r="K3034" t="str">
        <f>"03 87 92 37 33"</f>
        <v>03 87 92 37 33</v>
      </c>
      <c r="L3034" s="1">
        <v>24025</v>
      </c>
      <c r="M3034" t="str">
        <f t="shared" si="430"/>
        <v>124</v>
      </c>
      <c r="N3034" t="str">
        <f t="shared" si="431"/>
        <v>Centre de Santé</v>
      </c>
      <c r="O3034" t="str">
        <f>"41"</f>
        <v>41</v>
      </c>
      <c r="P3034" t="str">
        <f>"Régime Spécial de Sécurité Sociale"</f>
        <v>Régime Spécial de Sécurité Sociale</v>
      </c>
      <c r="Q3034" t="str">
        <f t="shared" si="428"/>
        <v>36</v>
      </c>
      <c r="R3034" t="str">
        <f t="shared" si="429"/>
        <v>Tarifs conventionnels assurance maladie</v>
      </c>
      <c r="U3034" t="str">
        <f>"750050759"</f>
        <v>750050759</v>
      </c>
    </row>
    <row r="3035" spans="1:21" x14ac:dyDescent="0.3">
      <c r="A3035" t="str">
        <f>"750012098"</f>
        <v>750012098</v>
      </c>
      <c r="B3035" t="str">
        <f>"775 694 730 00265"</f>
        <v>775 694 730 00265</v>
      </c>
      <c r="D3035" t="str">
        <f>"CDS DE LA CRAMIF"</f>
        <v>CDS DE LA CRAMIF</v>
      </c>
      <c r="F3035" t="str">
        <f>"3 RUE DU MAROC"</f>
        <v>3 RUE DU MAROC</v>
      </c>
      <c r="H3035" t="str">
        <f>"75954"</f>
        <v>75954</v>
      </c>
      <c r="I3035" t="str">
        <f>"PARIS CEDEX 19"</f>
        <v>PARIS CEDEX 19</v>
      </c>
      <c r="J3035" t="str">
        <f>"01 40 05 67 43 "</f>
        <v xml:space="preserve">01 40 05 67 43 </v>
      </c>
      <c r="L3035" s="1">
        <v>24016</v>
      </c>
      <c r="M3035" t="str">
        <f t="shared" si="430"/>
        <v>124</v>
      </c>
      <c r="N3035" t="str">
        <f t="shared" si="431"/>
        <v>Centre de Santé</v>
      </c>
      <c r="O3035" t="str">
        <f>"40"</f>
        <v>40</v>
      </c>
      <c r="P3035" t="str">
        <f>"Régime Général de Sécurité Sociale"</f>
        <v>Régime Général de Sécurité Sociale</v>
      </c>
      <c r="Q3035" t="str">
        <f t="shared" si="428"/>
        <v>36</v>
      </c>
      <c r="R3035" t="str">
        <f t="shared" si="429"/>
        <v>Tarifs conventionnels assurance maladie</v>
      </c>
      <c r="U3035" t="str">
        <f>"750720484"</f>
        <v>750720484</v>
      </c>
    </row>
    <row r="3036" spans="1:21" x14ac:dyDescent="0.3">
      <c r="A3036" t="str">
        <f>"570011676"</f>
        <v>570011676</v>
      </c>
      <c r="B3036" t="str">
        <f>"775 685 316 03235"</f>
        <v>775 685 316 03235</v>
      </c>
      <c r="D3036" t="str">
        <f>"CENTRE DENTAIRE FILIERIS DE CREHANGE"</f>
        <v>CENTRE DENTAIRE FILIERIS DE CREHANGE</v>
      </c>
      <c r="F3036" t="str">
        <f>"40 COURS DU 19 NOVEMBRE 1944"</f>
        <v>40 COURS DU 19 NOVEMBRE 1944</v>
      </c>
      <c r="H3036" t="str">
        <f>"57690"</f>
        <v>57690</v>
      </c>
      <c r="I3036" t="str">
        <f>"CREHANGE"</f>
        <v>CREHANGE</v>
      </c>
      <c r="J3036" t="str">
        <f>"03 87 94 25 44 "</f>
        <v xml:space="preserve">03 87 94 25 44 </v>
      </c>
      <c r="L3036" s="1">
        <v>23955</v>
      </c>
      <c r="M3036" t="str">
        <f t="shared" si="430"/>
        <v>124</v>
      </c>
      <c r="N3036" t="str">
        <f t="shared" si="431"/>
        <v>Centre de Santé</v>
      </c>
      <c r="O3036" t="str">
        <f>"41"</f>
        <v>41</v>
      </c>
      <c r="P3036" t="str">
        <f>"Régime Spécial de Sécurité Sociale"</f>
        <v>Régime Spécial de Sécurité Sociale</v>
      </c>
      <c r="Q3036" t="str">
        <f t="shared" si="428"/>
        <v>36</v>
      </c>
      <c r="R3036" t="str">
        <f t="shared" si="429"/>
        <v>Tarifs conventionnels assurance maladie</v>
      </c>
      <c r="U3036" t="str">
        <f>"750050759"</f>
        <v>750050759</v>
      </c>
    </row>
    <row r="3037" spans="1:21" x14ac:dyDescent="0.3">
      <c r="A3037" t="str">
        <f>"310786520"</f>
        <v>310786520</v>
      </c>
      <c r="B3037" t="str">
        <f>"776 950 529 00151"</f>
        <v>776 950 529 00151</v>
      </c>
      <c r="D3037" t="str">
        <f>"CABINET DENTAIRE"</f>
        <v>CABINET DENTAIRE</v>
      </c>
      <c r="F3037" t="str">
        <f>"52 ALLEE JEAN JAURES"</f>
        <v>52 ALLEE JEAN JAURES</v>
      </c>
      <c r="H3037" t="str">
        <f>"31000"</f>
        <v>31000</v>
      </c>
      <c r="I3037" t="str">
        <f>"TOULOUSE"</f>
        <v>TOULOUSE</v>
      </c>
      <c r="J3037" t="str">
        <f>"05 61 62 54 10 "</f>
        <v xml:space="preserve">05 61 62 54 10 </v>
      </c>
      <c r="L3037" s="1">
        <v>23929</v>
      </c>
      <c r="M3037" t="str">
        <f t="shared" si="430"/>
        <v>124</v>
      </c>
      <c r="N3037" t="str">
        <f t="shared" si="431"/>
        <v>Centre de Santé</v>
      </c>
      <c r="O3037" t="str">
        <f>"47"</f>
        <v>47</v>
      </c>
      <c r="P3037" t="str">
        <f>"Société Mutualiste"</f>
        <v>Société Mutualiste</v>
      </c>
      <c r="Q3037" t="str">
        <f t="shared" si="428"/>
        <v>36</v>
      </c>
      <c r="R3037" t="str">
        <f t="shared" si="429"/>
        <v>Tarifs conventionnels assurance maladie</v>
      </c>
      <c r="U3037" t="str">
        <f>"310788682"</f>
        <v>310788682</v>
      </c>
    </row>
    <row r="3038" spans="1:21" x14ac:dyDescent="0.3">
      <c r="A3038" t="str">
        <f>"080007412"</f>
        <v>080007412</v>
      </c>
      <c r="B3038" t="str">
        <f>"780 349 833 00175"</f>
        <v>780 349 833 00175</v>
      </c>
      <c r="D3038" t="str">
        <f>"CENTRE DE SANTE DE MONTHERME"</f>
        <v>CENTRE DE SANTE DE MONTHERME</v>
      </c>
      <c r="F3038" t="str">
        <f>"3 RUE ANDRE COMPAIN"</f>
        <v>3 RUE ANDRE COMPAIN</v>
      </c>
      <c r="H3038" t="str">
        <f>"08800"</f>
        <v>08800</v>
      </c>
      <c r="I3038" t="str">
        <f>"MONTHERME"</f>
        <v>MONTHERME</v>
      </c>
      <c r="J3038" t="str">
        <f>"03 24 53 02 48 "</f>
        <v xml:space="preserve">03 24 53 02 48 </v>
      </c>
      <c r="L3038" s="1">
        <v>23743</v>
      </c>
      <c r="M3038" t="str">
        <f t="shared" si="430"/>
        <v>124</v>
      </c>
      <c r="N3038" t="str">
        <f t="shared" si="431"/>
        <v>Centre de Santé</v>
      </c>
      <c r="O3038" t="str">
        <f>"47"</f>
        <v>47</v>
      </c>
      <c r="P3038" t="str">
        <f>"Société Mutualiste"</f>
        <v>Société Mutualiste</v>
      </c>
      <c r="Q3038" t="str">
        <f t="shared" si="428"/>
        <v>36</v>
      </c>
      <c r="R3038" t="str">
        <f t="shared" si="429"/>
        <v>Tarifs conventionnels assurance maladie</v>
      </c>
      <c r="U3038" t="str">
        <f>"510024581"</f>
        <v>510024581</v>
      </c>
    </row>
    <row r="3039" spans="1:21" x14ac:dyDescent="0.3">
      <c r="A3039" t="str">
        <f>"930010632"</f>
        <v>930010632</v>
      </c>
      <c r="B3039" t="str">
        <f>"219 300 704 00265"</f>
        <v>219 300 704 00265</v>
      </c>
      <c r="D3039" t="str">
        <f>"CDS MEDICO SOCIAL MUNICIPAL"</f>
        <v>CDS MEDICO SOCIAL MUNICIPAL</v>
      </c>
      <c r="F3039" t="str">
        <f>"56 RUE SAINT DENIS"</f>
        <v>56 RUE SAINT DENIS</v>
      </c>
      <c r="H3039" t="str">
        <f>"93406"</f>
        <v>93406</v>
      </c>
      <c r="I3039" t="str">
        <f>"ST OUEN CEDEX"</f>
        <v>ST OUEN CEDEX</v>
      </c>
      <c r="J3039" t="str">
        <f>"01 49 18 92 10 "</f>
        <v xml:space="preserve">01 49 18 92 10 </v>
      </c>
      <c r="K3039" t="str">
        <f>"01 49 18 92 19"</f>
        <v>01 49 18 92 19</v>
      </c>
      <c r="L3039" s="1">
        <v>23676</v>
      </c>
      <c r="M3039" t="str">
        <f t="shared" si="430"/>
        <v>124</v>
      </c>
      <c r="N3039" t="str">
        <f t="shared" si="431"/>
        <v>Centre de Santé</v>
      </c>
      <c r="O3039" t="str">
        <f>"03"</f>
        <v>03</v>
      </c>
      <c r="P3039" t="str">
        <f>"Commune"</f>
        <v>Commune</v>
      </c>
      <c r="Q3039" t="str">
        <f t="shared" si="428"/>
        <v>36</v>
      </c>
      <c r="R3039" t="str">
        <f t="shared" si="429"/>
        <v>Tarifs conventionnels assurance maladie</v>
      </c>
      <c r="U3039" t="str">
        <f>"930813167"</f>
        <v>930813167</v>
      </c>
    </row>
    <row r="3040" spans="1:21" x14ac:dyDescent="0.3">
      <c r="A3040" t="str">
        <f>"920010154"</f>
        <v>920010154</v>
      </c>
      <c r="B3040" t="str">
        <f>"785 311 036 00012"</f>
        <v>785 311 036 00012</v>
      </c>
      <c r="D3040" t="str">
        <f>"CDS MEDICAL ET DENTAIRE PARIS SUD"</f>
        <v>CDS MEDICAL ET DENTAIRE PARIS SUD</v>
      </c>
      <c r="F3040" t="str">
        <f>"1 RUE JEAN MERMOZ"</f>
        <v>1 RUE JEAN MERMOZ</v>
      </c>
      <c r="H3040" t="str">
        <f>"92340"</f>
        <v>92340</v>
      </c>
      <c r="I3040" t="str">
        <f>"BOURG LA REINE"</f>
        <v>BOURG LA REINE</v>
      </c>
      <c r="J3040" t="str">
        <f>"01 46 65 71 02 "</f>
        <v xml:space="preserve">01 46 65 71 02 </v>
      </c>
      <c r="K3040" t="str">
        <f>"01 46 65 83 85"</f>
        <v>01 46 65 83 85</v>
      </c>
      <c r="L3040" s="1">
        <v>23637</v>
      </c>
      <c r="M3040" t="str">
        <f t="shared" si="430"/>
        <v>124</v>
      </c>
      <c r="N3040" t="str">
        <f t="shared" si="431"/>
        <v>Centre de Santé</v>
      </c>
      <c r="O3040" t="str">
        <f>"60"</f>
        <v>60</v>
      </c>
      <c r="P3040" t="str">
        <f>"Association Loi 1901 non Reconnue d'Utilité Publique"</f>
        <v>Association Loi 1901 non Reconnue d'Utilité Publique</v>
      </c>
      <c r="Q3040" t="str">
        <f t="shared" si="428"/>
        <v>36</v>
      </c>
      <c r="R3040" t="str">
        <f t="shared" si="429"/>
        <v>Tarifs conventionnels assurance maladie</v>
      </c>
      <c r="U3040" t="str">
        <f>"920000411"</f>
        <v>920000411</v>
      </c>
    </row>
    <row r="3041" spans="1:21" x14ac:dyDescent="0.3">
      <c r="A3041" t="str">
        <f>"190002410"</f>
        <v>190002410</v>
      </c>
      <c r="B3041" t="str">
        <f>"777 966 870 00043"</f>
        <v>777 966 870 00043</v>
      </c>
      <c r="D3041" t="str">
        <f>"CENTRE DE SOINS INFIRMIERS"</f>
        <v>CENTRE DE SOINS INFIRMIERS</v>
      </c>
      <c r="F3041" t="str">
        <f>"20 RUE A PROZERGUE"</f>
        <v>20 RUE A PROZERGUE</v>
      </c>
      <c r="H3041" t="str">
        <f>"19200"</f>
        <v>19200</v>
      </c>
      <c r="I3041" t="str">
        <f>"USSEL"</f>
        <v>USSEL</v>
      </c>
      <c r="J3041" t="str">
        <f>"05 55 96 15 08 "</f>
        <v xml:space="preserve">05 55 96 15 08 </v>
      </c>
      <c r="L3041" s="1">
        <v>23590</v>
      </c>
      <c r="M3041" t="str">
        <f t="shared" si="430"/>
        <v>124</v>
      </c>
      <c r="N3041" t="str">
        <f t="shared" si="431"/>
        <v>Centre de Santé</v>
      </c>
      <c r="O3041" t="str">
        <f>"40"</f>
        <v>40</v>
      </c>
      <c r="P3041" t="str">
        <f>"Régime Général de Sécurité Sociale"</f>
        <v>Régime Général de Sécurité Sociale</v>
      </c>
      <c r="Q3041" t="str">
        <f t="shared" si="428"/>
        <v>36</v>
      </c>
      <c r="R3041" t="str">
        <f t="shared" si="429"/>
        <v>Tarifs conventionnels assurance maladie</v>
      </c>
      <c r="U3041" t="str">
        <f>"190001644"</f>
        <v>190001644</v>
      </c>
    </row>
    <row r="3042" spans="1:21" x14ac:dyDescent="0.3">
      <c r="A3042" t="str">
        <f>"550001168"</f>
        <v>550001168</v>
      </c>
      <c r="B3042" t="str">
        <f>"775 685 316 04019"</f>
        <v>775 685 316 04019</v>
      </c>
      <c r="D3042" t="str">
        <f>"CSP FILIERIS DE BOULIGNY"</f>
        <v>CSP FILIERIS DE BOULIGNY</v>
      </c>
      <c r="F3042" t="str">
        <f>"3 PLACE DE LA MINE"</f>
        <v>3 PLACE DE LA MINE</v>
      </c>
      <c r="H3042" t="str">
        <f>"55240"</f>
        <v>55240</v>
      </c>
      <c r="I3042" t="str">
        <f>"BOULIGNY"</f>
        <v>BOULIGNY</v>
      </c>
      <c r="J3042" t="str">
        <f>"03 29 87 92 21 "</f>
        <v xml:space="preserve">03 29 87 92 21 </v>
      </c>
      <c r="L3042" s="1">
        <v>23512</v>
      </c>
      <c r="M3042" t="str">
        <f t="shared" si="430"/>
        <v>124</v>
      </c>
      <c r="N3042" t="str">
        <f t="shared" si="431"/>
        <v>Centre de Santé</v>
      </c>
      <c r="O3042" t="str">
        <f>"41"</f>
        <v>41</v>
      </c>
      <c r="P3042" t="str">
        <f>"Régime Spécial de Sécurité Sociale"</f>
        <v>Régime Spécial de Sécurité Sociale</v>
      </c>
      <c r="Q3042" t="str">
        <f t="shared" si="428"/>
        <v>36</v>
      </c>
      <c r="R3042" t="str">
        <f t="shared" si="429"/>
        <v>Tarifs conventionnels assurance maladie</v>
      </c>
      <c r="U3042" t="str">
        <f>"750050759"</f>
        <v>750050759</v>
      </c>
    </row>
    <row r="3043" spans="1:21" x14ac:dyDescent="0.3">
      <c r="A3043" t="str">
        <f>"190002634"</f>
        <v>190002634</v>
      </c>
      <c r="D3043" t="str">
        <f>"CENTRE DE SOINS INFIRMIERS"</f>
        <v>CENTRE DE SOINS INFIRMIERS</v>
      </c>
      <c r="F3043" t="str">
        <f>"ROUTE DE CHAUFFOUR"</f>
        <v>ROUTE DE CHAUFFOUR</v>
      </c>
      <c r="H3043" t="str">
        <f>"19500"</f>
        <v>19500</v>
      </c>
      <c r="I3043" t="str">
        <f>"MEYSSAC"</f>
        <v>MEYSSAC</v>
      </c>
      <c r="J3043" t="str">
        <f>"05 55 25 40 32 "</f>
        <v xml:space="preserve">05 55 25 40 32 </v>
      </c>
      <c r="L3043" s="1">
        <v>23468</v>
      </c>
      <c r="M3043" t="str">
        <f t="shared" si="430"/>
        <v>124</v>
      </c>
      <c r="N3043" t="str">
        <f t="shared" si="431"/>
        <v>Centre de Santé</v>
      </c>
      <c r="O3043" t="str">
        <f>"60"</f>
        <v>60</v>
      </c>
      <c r="P3043" t="str">
        <f>"Association Loi 1901 non Reconnue d'Utilité Publique"</f>
        <v>Association Loi 1901 non Reconnue d'Utilité Publique</v>
      </c>
      <c r="Q3043" t="str">
        <f t="shared" si="428"/>
        <v>36</v>
      </c>
      <c r="R3043" t="str">
        <f t="shared" si="429"/>
        <v>Tarifs conventionnels assurance maladie</v>
      </c>
      <c r="U3043" t="str">
        <f>"190012336"</f>
        <v>190012336</v>
      </c>
    </row>
    <row r="3044" spans="1:21" x14ac:dyDescent="0.3">
      <c r="A3044" t="str">
        <f>"930010012"</f>
        <v>930010012</v>
      </c>
      <c r="B3044" t="str">
        <f>"219 300 019 00375"</f>
        <v>219 300 019 00375</v>
      </c>
      <c r="D3044" t="str">
        <f>"CDS MUNICIPAL PESQUE"</f>
        <v>CDS MUNICIPAL PESQUE</v>
      </c>
      <c r="F3044" t="str">
        <f>"5 RUE DU DOCTEUR PESQUE"</f>
        <v>5 RUE DU DOCTEUR PESQUE</v>
      </c>
      <c r="H3044" t="str">
        <f>"93300"</f>
        <v>93300</v>
      </c>
      <c r="I3044" t="str">
        <f>"AUBERVILLIERS"</f>
        <v>AUBERVILLIERS</v>
      </c>
      <c r="J3044" t="str">
        <f>"01 48 11 22 01 "</f>
        <v xml:space="preserve">01 48 11 22 01 </v>
      </c>
      <c r="K3044" t="str">
        <f>"01 48 39 53 56"</f>
        <v>01 48 39 53 56</v>
      </c>
      <c r="L3044" s="1">
        <v>23453</v>
      </c>
      <c r="M3044" t="str">
        <f t="shared" si="430"/>
        <v>124</v>
      </c>
      <c r="N3044" t="str">
        <f t="shared" si="431"/>
        <v>Centre de Santé</v>
      </c>
      <c r="O3044" t="str">
        <f>"03"</f>
        <v>03</v>
      </c>
      <c r="P3044" t="str">
        <f>"Commune"</f>
        <v>Commune</v>
      </c>
      <c r="Q3044" t="str">
        <f t="shared" si="428"/>
        <v>36</v>
      </c>
      <c r="R3044" t="str">
        <f t="shared" si="429"/>
        <v>Tarifs conventionnels assurance maladie</v>
      </c>
      <c r="U3044" t="str">
        <f>"930812862"</f>
        <v>930812862</v>
      </c>
    </row>
    <row r="3045" spans="1:21" x14ac:dyDescent="0.3">
      <c r="A3045" t="str">
        <f>"190002592"</f>
        <v>190002592</v>
      </c>
      <c r="D3045" t="str">
        <f>"CENTRE DE SOINS INFIRMIERS"</f>
        <v>CENTRE DE SOINS INFIRMIERS</v>
      </c>
      <c r="F3045" t="str">
        <f>"17 RUE DE LA REPUBLIQUE"</f>
        <v>17 RUE DE LA REPUBLIQUE</v>
      </c>
      <c r="H3045" t="str">
        <f>"19350"</f>
        <v>19350</v>
      </c>
      <c r="I3045" t="str">
        <f>"JUILLAC"</f>
        <v>JUILLAC</v>
      </c>
      <c r="J3045" t="str">
        <f>"05 55 25 60 15 "</f>
        <v xml:space="preserve">05 55 25 60 15 </v>
      </c>
      <c r="L3045" s="1">
        <v>23422</v>
      </c>
      <c r="M3045" t="str">
        <f t="shared" si="430"/>
        <v>124</v>
      </c>
      <c r="N3045" t="str">
        <f t="shared" si="431"/>
        <v>Centre de Santé</v>
      </c>
      <c r="O3045" t="str">
        <f>"60"</f>
        <v>60</v>
      </c>
      <c r="P3045" t="str">
        <f>"Association Loi 1901 non Reconnue d'Utilité Publique"</f>
        <v>Association Loi 1901 non Reconnue d'Utilité Publique</v>
      </c>
      <c r="Q3045" t="str">
        <f t="shared" si="428"/>
        <v>36</v>
      </c>
      <c r="R3045" t="str">
        <f t="shared" si="429"/>
        <v>Tarifs conventionnels assurance maladie</v>
      </c>
      <c r="U3045" t="str">
        <f>"190012336"</f>
        <v>190012336</v>
      </c>
    </row>
    <row r="3046" spans="1:21" x14ac:dyDescent="0.3">
      <c r="A3046" t="str">
        <f>"750010894"</f>
        <v>750010894</v>
      </c>
      <c r="B3046" t="str">
        <f>"784 446 981 00010"</f>
        <v>784 446 981 00010</v>
      </c>
      <c r="D3046" t="str">
        <f>"CDS MEDICAL DE L AMSAF"</f>
        <v>CDS MEDICAL DE L AMSAF</v>
      </c>
      <c r="F3046" t="str">
        <f>"191 QUARTIER DE VALMY"</f>
        <v>191 QUARTIER DE VALMY</v>
      </c>
      <c r="H3046" t="str">
        <f>"75010"</f>
        <v>75010</v>
      </c>
      <c r="I3046" t="str">
        <f>"PARIS"</f>
        <v>PARIS</v>
      </c>
      <c r="J3046" t="str">
        <f>"01 40 38 97 70 "</f>
        <v xml:space="preserve">01 40 38 97 70 </v>
      </c>
      <c r="K3046" t="str">
        <f>"01 40 35 32 07"</f>
        <v>01 40 35 32 07</v>
      </c>
      <c r="L3046" s="1">
        <v>23422</v>
      </c>
      <c r="M3046" t="str">
        <f t="shared" si="430"/>
        <v>124</v>
      </c>
      <c r="N3046" t="str">
        <f t="shared" si="431"/>
        <v>Centre de Santé</v>
      </c>
      <c r="O3046" t="str">
        <f>"60"</f>
        <v>60</v>
      </c>
      <c r="P3046" t="str">
        <f>"Association Loi 1901 non Reconnue d'Utilité Publique"</f>
        <v>Association Loi 1901 non Reconnue d'Utilité Publique</v>
      </c>
      <c r="Q3046" t="str">
        <f t="shared" si="428"/>
        <v>36</v>
      </c>
      <c r="R3046" t="str">
        <f t="shared" si="429"/>
        <v>Tarifs conventionnels assurance maladie</v>
      </c>
      <c r="U3046" t="str">
        <f>"750806499"</f>
        <v>750806499</v>
      </c>
    </row>
    <row r="3047" spans="1:21" x14ac:dyDescent="0.3">
      <c r="A3047" t="str">
        <f>"670781566"</f>
        <v>670781566</v>
      </c>
      <c r="B3047" t="str">
        <f>"477 901 714 00048"</f>
        <v>477 901 714 00048</v>
      </c>
      <c r="D3047" t="str">
        <f>"CENTRE MEDICAL ET DENTAIRE MGEN"</f>
        <v>CENTRE MEDICAL ET DENTAIRE MGEN</v>
      </c>
      <c r="F3047" t="str">
        <f>"4 PLACE DU PONT AUX CHATS"</f>
        <v>4 PLACE DU PONT AUX CHATS</v>
      </c>
      <c r="H3047" t="str">
        <f>"67085"</f>
        <v>67085</v>
      </c>
      <c r="I3047" t="str">
        <f>"STRASBOURG CEDEX"</f>
        <v>STRASBOURG CEDEX</v>
      </c>
      <c r="J3047" t="str">
        <f>"03 88 21 14 60 "</f>
        <v xml:space="preserve">03 88 21 14 60 </v>
      </c>
      <c r="K3047" t="str">
        <f>"03 88 24 08 06"</f>
        <v>03 88 24 08 06</v>
      </c>
      <c r="L3047" s="1">
        <v>23377</v>
      </c>
      <c r="M3047" t="str">
        <f t="shared" si="430"/>
        <v>124</v>
      </c>
      <c r="N3047" t="str">
        <f t="shared" si="431"/>
        <v>Centre de Santé</v>
      </c>
      <c r="O3047" t="str">
        <f>"47"</f>
        <v>47</v>
      </c>
      <c r="P3047" t="str">
        <f>"Société Mutualiste"</f>
        <v>Société Mutualiste</v>
      </c>
      <c r="Q3047" t="str">
        <f t="shared" ref="Q3047:Q3110" si="432">"36"</f>
        <v>36</v>
      </c>
      <c r="R3047" t="str">
        <f t="shared" ref="R3047:R3110" si="433">"Tarifs conventionnels assurance maladie"</f>
        <v>Tarifs conventionnels assurance maladie</v>
      </c>
      <c r="U3047" t="str">
        <f>"750008658"</f>
        <v>750008658</v>
      </c>
    </row>
    <row r="3048" spans="1:21" x14ac:dyDescent="0.3">
      <c r="A3048" t="str">
        <f>"700780323"</f>
        <v>700780323</v>
      </c>
      <c r="B3048" t="str">
        <f>"380 461 251 00049"</f>
        <v>380 461 251 00049</v>
      </c>
      <c r="D3048" t="str">
        <f>"CENTRE SOINS INFIRMIERS VILLERSEXEL"</f>
        <v>CENTRE SOINS INFIRMIERS VILLERSEXEL</v>
      </c>
      <c r="F3048" t="str">
        <f>"126 RUE SCHOENAU"</f>
        <v>126 RUE SCHOENAU</v>
      </c>
      <c r="H3048" t="str">
        <f>"70110"</f>
        <v>70110</v>
      </c>
      <c r="I3048" t="str">
        <f>"VILLERSEXEL"</f>
        <v>VILLERSEXEL</v>
      </c>
      <c r="J3048" t="str">
        <f>"03 84 20 53 41 "</f>
        <v xml:space="preserve">03 84 20 53 41 </v>
      </c>
      <c r="K3048" t="str">
        <f>"03 84 20 31 36"</f>
        <v>03 84 20 31 36</v>
      </c>
      <c r="L3048" s="1">
        <v>23377</v>
      </c>
      <c r="M3048" t="str">
        <f t="shared" si="430"/>
        <v>124</v>
      </c>
      <c r="N3048" t="str">
        <f t="shared" si="431"/>
        <v>Centre de Santé</v>
      </c>
      <c r="O3048" t="str">
        <f>"60"</f>
        <v>60</v>
      </c>
      <c r="P3048" t="str">
        <f>"Association Loi 1901 non Reconnue d'Utilité Publique"</f>
        <v>Association Loi 1901 non Reconnue d'Utilité Publique</v>
      </c>
      <c r="Q3048" t="str">
        <f t="shared" si="432"/>
        <v>36</v>
      </c>
      <c r="R3048" t="str">
        <f t="shared" si="433"/>
        <v>Tarifs conventionnels assurance maladie</v>
      </c>
      <c r="U3048" t="str">
        <f>"700000474"</f>
        <v>700000474</v>
      </c>
    </row>
    <row r="3049" spans="1:21" x14ac:dyDescent="0.3">
      <c r="A3049" t="str">
        <f>"540012432"</f>
        <v>540012432</v>
      </c>
      <c r="B3049" t="str">
        <f>"444 379 903 00016"</f>
        <v>444 379 903 00016</v>
      </c>
      <c r="D3049" t="str">
        <f>"CENTRE DE SANTE DENTAIRE PSME"</f>
        <v>CENTRE DE SANTE DENTAIRE PSME</v>
      </c>
      <c r="F3049" t="str">
        <f>"4 RUE FELIX HESS"</f>
        <v>4 RUE FELIX HESS</v>
      </c>
      <c r="H3049" t="str">
        <f>"54190"</f>
        <v>54190</v>
      </c>
      <c r="I3049" t="str">
        <f>"VILLERUPT"</f>
        <v>VILLERUPT</v>
      </c>
      <c r="J3049" t="str">
        <f>"03 82 89 44 26 "</f>
        <v xml:space="preserve">03 82 89 44 26 </v>
      </c>
      <c r="K3049" t="str">
        <f>"03 82 89 49 40"</f>
        <v>03 82 89 49 40</v>
      </c>
      <c r="L3049" s="1">
        <v>23364</v>
      </c>
      <c r="M3049" t="str">
        <f t="shared" si="430"/>
        <v>124</v>
      </c>
      <c r="N3049" t="str">
        <f t="shared" si="431"/>
        <v>Centre de Santé</v>
      </c>
      <c r="O3049" t="str">
        <f>"47"</f>
        <v>47</v>
      </c>
      <c r="P3049" t="str">
        <f>"Société Mutualiste"</f>
        <v>Société Mutualiste</v>
      </c>
      <c r="Q3049" t="str">
        <f t="shared" si="432"/>
        <v>36</v>
      </c>
      <c r="R3049" t="str">
        <f t="shared" si="433"/>
        <v>Tarifs conventionnels assurance maladie</v>
      </c>
      <c r="U3049" t="str">
        <f>"540008869"</f>
        <v>540008869</v>
      </c>
    </row>
    <row r="3050" spans="1:21" x14ac:dyDescent="0.3">
      <c r="A3050" t="str">
        <f>"930010319"</f>
        <v>930010319</v>
      </c>
      <c r="B3050" t="str">
        <f>"219 300 324 00254"</f>
        <v>219 300 324 00254</v>
      </c>
      <c r="D3050" t="str">
        <f>"CDS MEDICAL ET DENTAIRE GAGNY"</f>
        <v>CDS MEDICAL ET DENTAIRE GAGNY</v>
      </c>
      <c r="F3050" t="str">
        <f>"23 AVENUE HENRI BARBUSSE"</f>
        <v>23 AVENUE HENRI BARBUSSE</v>
      </c>
      <c r="H3050" t="str">
        <f>"93220"</f>
        <v>93220</v>
      </c>
      <c r="I3050" t="str">
        <f>"GAGNY"</f>
        <v>GAGNY</v>
      </c>
      <c r="J3050" t="str">
        <f>"01 43 02 03 54 "</f>
        <v xml:space="preserve">01 43 02 03 54 </v>
      </c>
      <c r="K3050" t="str">
        <f>"01 43 01 43 00"</f>
        <v>01 43 01 43 00</v>
      </c>
      <c r="L3050" s="1">
        <v>23298</v>
      </c>
      <c r="M3050" t="str">
        <f t="shared" si="430"/>
        <v>124</v>
      </c>
      <c r="N3050" t="str">
        <f t="shared" si="431"/>
        <v>Centre de Santé</v>
      </c>
      <c r="O3050" t="str">
        <f>"03"</f>
        <v>03</v>
      </c>
      <c r="P3050" t="str">
        <f>"Commune"</f>
        <v>Commune</v>
      </c>
      <c r="Q3050" t="str">
        <f t="shared" si="432"/>
        <v>36</v>
      </c>
      <c r="R3050" t="str">
        <f t="shared" si="433"/>
        <v>Tarifs conventionnels assurance maladie</v>
      </c>
      <c r="U3050" t="str">
        <f>"930812995"</f>
        <v>930812995</v>
      </c>
    </row>
    <row r="3051" spans="1:21" x14ac:dyDescent="0.3">
      <c r="A3051" t="str">
        <f>"260015276"</f>
        <v>260015276</v>
      </c>
      <c r="B3051" t="str">
        <f>"775 544 562 01700"</f>
        <v>775 544 562 01700</v>
      </c>
      <c r="D3051" t="str">
        <f>"CENTRE DE SANTE ORSAC NYONS"</f>
        <v>CENTRE DE SANTE ORSAC NYONS</v>
      </c>
      <c r="F3051" t="str">
        <f>"36 ROUTE DES RIEUX"</f>
        <v>36 ROUTE DES RIEUX</v>
      </c>
      <c r="H3051" t="str">
        <f>"26110"</f>
        <v>26110</v>
      </c>
      <c r="I3051" t="str">
        <f>"NYONS"</f>
        <v>NYONS</v>
      </c>
      <c r="J3051" t="str">
        <f>"04 75 26 55 55 "</f>
        <v xml:space="preserve">04 75 26 55 55 </v>
      </c>
      <c r="K3051" t="str">
        <f>"04 75 26 55 56"</f>
        <v>04 75 26 55 56</v>
      </c>
      <c r="L3051" s="1">
        <v>23188</v>
      </c>
      <c r="M3051" t="str">
        <f t="shared" si="430"/>
        <v>124</v>
      </c>
      <c r="N3051" t="str">
        <f t="shared" si="431"/>
        <v>Centre de Santé</v>
      </c>
      <c r="O3051" t="str">
        <f>"61"</f>
        <v>61</v>
      </c>
      <c r="P3051" t="str">
        <f>"Association Loi 1901 Reconnue d'Utilité Publique"</f>
        <v>Association Loi 1901 Reconnue d'Utilité Publique</v>
      </c>
      <c r="Q3051" t="str">
        <f t="shared" si="432"/>
        <v>36</v>
      </c>
      <c r="R3051" t="str">
        <f t="shared" si="433"/>
        <v>Tarifs conventionnels assurance maladie</v>
      </c>
      <c r="U3051" t="str">
        <f>"010783009"</f>
        <v>010783009</v>
      </c>
    </row>
    <row r="3052" spans="1:21" x14ac:dyDescent="0.3">
      <c r="A3052" t="str">
        <f>"620111286"</f>
        <v>620111286</v>
      </c>
      <c r="B3052" t="str">
        <f>"783 712 045 01425"</f>
        <v>783 712 045 01425</v>
      </c>
      <c r="D3052" t="str">
        <f>"CENTRE DE SANTÉ DENTAIRE HUCQUELIERS"</f>
        <v>CENTRE DE SANTÉ DENTAIRE HUCQUELIERS</v>
      </c>
      <c r="F3052" t="str">
        <f>"18 RUE DE LA  LONGEVILLE"</f>
        <v>18 RUE DE LA  LONGEVILLE</v>
      </c>
      <c r="H3052" t="str">
        <f>"62650"</f>
        <v>62650</v>
      </c>
      <c r="I3052" t="str">
        <f>"HUCQUELIERS"</f>
        <v>HUCQUELIERS</v>
      </c>
      <c r="J3052" t="str">
        <f>"03 21 91 65 13 "</f>
        <v xml:space="preserve">03 21 91 65 13 </v>
      </c>
      <c r="K3052" t="str">
        <f>"03 21 83 95 28"</f>
        <v>03 21 83 95 28</v>
      </c>
      <c r="L3052" s="1">
        <v>23154</v>
      </c>
      <c r="M3052" t="str">
        <f t="shared" si="430"/>
        <v>124</v>
      </c>
      <c r="N3052" t="str">
        <f t="shared" si="431"/>
        <v>Centre de Santé</v>
      </c>
      <c r="O3052" t="str">
        <f>"47"</f>
        <v>47</v>
      </c>
      <c r="P3052" t="str">
        <f>"Société Mutualiste"</f>
        <v>Société Mutualiste</v>
      </c>
      <c r="Q3052" t="str">
        <f t="shared" si="432"/>
        <v>36</v>
      </c>
      <c r="R3052" t="str">
        <f t="shared" si="433"/>
        <v>Tarifs conventionnels assurance maladie</v>
      </c>
      <c r="U3052" t="str">
        <f>"590024469"</f>
        <v>590024469</v>
      </c>
    </row>
    <row r="3053" spans="1:21" x14ac:dyDescent="0.3">
      <c r="A3053" t="str">
        <f>"870000254"</f>
        <v>870000254</v>
      </c>
      <c r="B3053" t="str">
        <f>"775 672 272 03938"</f>
        <v>775 672 272 03938</v>
      </c>
      <c r="D3053" t="str">
        <f>"CENTRE DE SOINS INFIRMIERS"</f>
        <v>CENTRE DE SOINS INFIRMIERS</v>
      </c>
      <c r="F3053" t="str">
        <f>"16 RUE FRANCOIS PERRIN"</f>
        <v>16 RUE FRANCOIS PERRIN</v>
      </c>
      <c r="H3053" t="str">
        <f>"87110"</f>
        <v>87110</v>
      </c>
      <c r="I3053" t="str">
        <f>"SOLIGNAC"</f>
        <v>SOLIGNAC</v>
      </c>
      <c r="J3053" t="str">
        <f>"05 55 00 51 39 "</f>
        <v xml:space="preserve">05 55 00 51 39 </v>
      </c>
      <c r="L3053" s="1">
        <v>23102</v>
      </c>
      <c r="M3053" t="str">
        <f t="shared" si="430"/>
        <v>124</v>
      </c>
      <c r="N3053" t="str">
        <f t="shared" si="431"/>
        <v>Centre de Santé</v>
      </c>
      <c r="O3053" t="str">
        <f>"61"</f>
        <v>61</v>
      </c>
      <c r="P3053" t="str">
        <f>"Association Loi 1901 Reconnue d'Utilité Publique"</f>
        <v>Association Loi 1901 Reconnue d'Utilité Publique</v>
      </c>
      <c r="Q3053" t="str">
        <f t="shared" si="432"/>
        <v>36</v>
      </c>
      <c r="R3053" t="str">
        <f t="shared" si="433"/>
        <v>Tarifs conventionnels assurance maladie</v>
      </c>
      <c r="U3053" t="str">
        <f>"750721334"</f>
        <v>750721334</v>
      </c>
    </row>
    <row r="3054" spans="1:21" x14ac:dyDescent="0.3">
      <c r="A3054" t="str">
        <f>"130785637"</f>
        <v>130785637</v>
      </c>
      <c r="B3054" t="str">
        <f>"775 761 844 01047"</f>
        <v>775 761 844 01047</v>
      </c>
      <c r="D3054" t="str">
        <f>"CSP OXANCE PAUL PARET MARSEILLE 15"</f>
        <v>CSP OXANCE PAUL PARET MARSEILLE 15</v>
      </c>
      <c r="F3054" t="str">
        <f>"3 ROUTE DE LA GAVOTTE"</f>
        <v>3 ROUTE DE LA GAVOTTE</v>
      </c>
      <c r="H3054" t="str">
        <f>"13015"</f>
        <v>13015</v>
      </c>
      <c r="I3054" t="str">
        <f>"MARSEILLE"</f>
        <v>MARSEILLE</v>
      </c>
      <c r="J3054" t="str">
        <f>"04 91 09 47 00 "</f>
        <v xml:space="preserve">04 91 09 47 00 </v>
      </c>
      <c r="L3054" s="1">
        <v>23080</v>
      </c>
      <c r="M3054" t="str">
        <f t="shared" si="430"/>
        <v>124</v>
      </c>
      <c r="N3054" t="str">
        <f t="shared" si="431"/>
        <v>Centre de Santé</v>
      </c>
      <c r="O3054" t="str">
        <f>"47"</f>
        <v>47</v>
      </c>
      <c r="P3054" t="str">
        <f>"Société Mutualiste"</f>
        <v>Société Mutualiste</v>
      </c>
      <c r="Q3054" t="str">
        <f t="shared" si="432"/>
        <v>36</v>
      </c>
      <c r="R3054" t="str">
        <f t="shared" si="433"/>
        <v>Tarifs conventionnels assurance maladie</v>
      </c>
      <c r="U3054" t="str">
        <f>"690048111"</f>
        <v>690048111</v>
      </c>
    </row>
    <row r="3055" spans="1:21" x14ac:dyDescent="0.3">
      <c r="A3055" t="str">
        <f>"750010126"</f>
        <v>750010126</v>
      </c>
      <c r="B3055" t="str">
        <f>"923 299 093 00016"</f>
        <v>923 299 093 00016</v>
      </c>
      <c r="D3055" t="str">
        <f>"CDS SOMED RENE LABORIE"</f>
        <v>CDS SOMED RENE LABORIE</v>
      </c>
      <c r="E3055" t="str">
        <f>"27-29"</f>
        <v>27-29</v>
      </c>
      <c r="F3055" t="str">
        <f>"29 RUE DE TURBIGO"</f>
        <v>29 RUE DE TURBIGO</v>
      </c>
      <c r="H3055" t="str">
        <f>"75002"</f>
        <v>75002</v>
      </c>
      <c r="I3055" t="str">
        <f>"PARIS"</f>
        <v>PARIS</v>
      </c>
      <c r="J3055" t="str">
        <f>"01 49 27 09 20 "</f>
        <v xml:space="preserve">01 49 27 09 20 </v>
      </c>
      <c r="L3055" s="1">
        <v>23043</v>
      </c>
      <c r="M3055" t="str">
        <f t="shared" si="430"/>
        <v>124</v>
      </c>
      <c r="N3055" t="str">
        <f t="shared" si="431"/>
        <v>Centre de Santé</v>
      </c>
      <c r="O3055" t="str">
        <f>"60"</f>
        <v>60</v>
      </c>
      <c r="P3055" t="str">
        <f>"Association Loi 1901 non Reconnue d'Utilité Publique"</f>
        <v>Association Loi 1901 non Reconnue d'Utilité Publique</v>
      </c>
      <c r="Q3055" t="str">
        <f t="shared" si="432"/>
        <v>36</v>
      </c>
      <c r="R3055" t="str">
        <f t="shared" si="433"/>
        <v>Tarifs conventionnels assurance maladie</v>
      </c>
      <c r="U3055" t="str">
        <f>"750072043"</f>
        <v>750072043</v>
      </c>
    </row>
    <row r="3056" spans="1:21" x14ac:dyDescent="0.3">
      <c r="A3056" t="str">
        <f>"640782447"</f>
        <v>640782447</v>
      </c>
      <c r="B3056" t="str">
        <f>"801 995 036 00036"</f>
        <v>801 995 036 00036</v>
      </c>
      <c r="D3056" t="str">
        <f>"CENTRE DE SOINS LA PROVIDENCE"</f>
        <v>CENTRE DE SOINS LA PROVIDENCE</v>
      </c>
      <c r="F3056" t="str">
        <f>"PLACE DU COLLEGE"</f>
        <v>PLACE DU COLLEGE</v>
      </c>
      <c r="H3056" t="str">
        <f>"64500"</f>
        <v>64500</v>
      </c>
      <c r="I3056" t="str">
        <f>"ST JEAN DE LUZ"</f>
        <v>ST JEAN DE LUZ</v>
      </c>
      <c r="J3056" t="str">
        <f>"05 33 09 64 22 "</f>
        <v xml:space="preserve">05 33 09 64 22 </v>
      </c>
      <c r="L3056" s="1">
        <v>23012</v>
      </c>
      <c r="M3056" t="str">
        <f t="shared" si="430"/>
        <v>124</v>
      </c>
      <c r="N3056" t="str">
        <f t="shared" si="431"/>
        <v>Centre de Santé</v>
      </c>
      <c r="O3056" t="str">
        <f>"60"</f>
        <v>60</v>
      </c>
      <c r="P3056" t="str">
        <f>"Association Loi 1901 non Reconnue d'Utilité Publique"</f>
        <v>Association Loi 1901 non Reconnue d'Utilité Publique</v>
      </c>
      <c r="Q3056" t="str">
        <f t="shared" si="432"/>
        <v>36</v>
      </c>
      <c r="R3056" t="str">
        <f t="shared" si="433"/>
        <v>Tarifs conventionnels assurance maladie</v>
      </c>
      <c r="U3056" t="str">
        <f>"750058117"</f>
        <v>750058117</v>
      </c>
    </row>
    <row r="3057" spans="1:21" x14ac:dyDescent="0.3">
      <c r="A3057" t="str">
        <f>"190003988"</f>
        <v>190003988</v>
      </c>
      <c r="D3057" t="str">
        <f>"CENTRE DE SOINS INFIRMIERS"</f>
        <v>CENTRE DE SOINS INFIRMIERS</v>
      </c>
      <c r="F3057" t="str">
        <f>"25 RUE DE LA REPUBLIQUE"</f>
        <v>25 RUE DE LA REPUBLIQUE</v>
      </c>
      <c r="H3057" t="str">
        <f>"19170"</f>
        <v>19170</v>
      </c>
      <c r="I3057" t="str">
        <f>"BUGEAT"</f>
        <v>BUGEAT</v>
      </c>
      <c r="J3057" t="str">
        <f>"05 55 95 50 07 "</f>
        <v xml:space="preserve">05 55 95 50 07 </v>
      </c>
      <c r="L3057" s="1">
        <v>22954</v>
      </c>
      <c r="M3057" t="str">
        <f t="shared" si="430"/>
        <v>124</v>
      </c>
      <c r="N3057" t="str">
        <f t="shared" si="431"/>
        <v>Centre de Santé</v>
      </c>
      <c r="O3057" t="str">
        <f>"60"</f>
        <v>60</v>
      </c>
      <c r="P3057" t="str">
        <f>"Association Loi 1901 non Reconnue d'Utilité Publique"</f>
        <v>Association Loi 1901 non Reconnue d'Utilité Publique</v>
      </c>
      <c r="Q3057" t="str">
        <f t="shared" si="432"/>
        <v>36</v>
      </c>
      <c r="R3057" t="str">
        <f t="shared" si="433"/>
        <v>Tarifs conventionnels assurance maladie</v>
      </c>
      <c r="U3057" t="str">
        <f>"190012336"</f>
        <v>190012336</v>
      </c>
    </row>
    <row r="3058" spans="1:21" x14ac:dyDescent="0.3">
      <c r="A3058" t="str">
        <f>"750012080"</f>
        <v>750012080</v>
      </c>
      <c r="B3058" t="str">
        <f>"817 464 258 00018"</f>
        <v>817 464 258 00018</v>
      </c>
      <c r="D3058" t="str">
        <f>"CDS MEDICAL ET DENTAIRE  ADMS"</f>
        <v>CDS MEDICAL ET DENTAIRE  ADMS</v>
      </c>
      <c r="F3058" t="str">
        <f>"46 RUE DE CRIMEE"</f>
        <v>46 RUE DE CRIMEE</v>
      </c>
      <c r="H3058" t="str">
        <f>"75019"</f>
        <v>75019</v>
      </c>
      <c r="I3058" t="str">
        <f>"PARIS"</f>
        <v>PARIS</v>
      </c>
      <c r="J3058" t="str">
        <f>"01 42 02 25 12 "</f>
        <v xml:space="preserve">01 42 02 25 12 </v>
      </c>
      <c r="K3058" t="str">
        <f>"01 42 02 33 99"</f>
        <v>01 42 02 33 99</v>
      </c>
      <c r="L3058" s="1">
        <v>22890</v>
      </c>
      <c r="M3058" t="str">
        <f t="shared" si="430"/>
        <v>124</v>
      </c>
      <c r="N3058" t="str">
        <f t="shared" si="431"/>
        <v>Centre de Santé</v>
      </c>
      <c r="O3058" t="str">
        <f>"60"</f>
        <v>60</v>
      </c>
      <c r="P3058" t="str">
        <f>"Association Loi 1901 non Reconnue d'Utilité Publique"</f>
        <v>Association Loi 1901 non Reconnue d'Utilité Publique</v>
      </c>
      <c r="Q3058" t="str">
        <f t="shared" si="432"/>
        <v>36</v>
      </c>
      <c r="R3058" t="str">
        <f t="shared" si="433"/>
        <v>Tarifs conventionnels assurance maladie</v>
      </c>
      <c r="U3058" t="str">
        <f>"750818916"</f>
        <v>750818916</v>
      </c>
    </row>
    <row r="3059" spans="1:21" x14ac:dyDescent="0.3">
      <c r="A3059" t="str">
        <f>"900000241"</f>
        <v>900000241</v>
      </c>
      <c r="B3059" t="str">
        <f>"390 514 909 00048"</f>
        <v>390 514 909 00048</v>
      </c>
      <c r="D3059" t="str">
        <f>"CSI VIA'DOM BELFORT"</f>
        <v>CSI VIA'DOM BELFORT</v>
      </c>
      <c r="F3059" t="str">
        <f>"1 RUE DE VARSOVIE"</f>
        <v>1 RUE DE VARSOVIE</v>
      </c>
      <c r="H3059" t="str">
        <f>"90000"</f>
        <v>90000</v>
      </c>
      <c r="I3059" t="str">
        <f>"BELFORT"</f>
        <v>BELFORT</v>
      </c>
      <c r="J3059" t="str">
        <f>"03 84 21 20 25 "</f>
        <v xml:space="preserve">03 84 21 20 25 </v>
      </c>
      <c r="K3059" t="str">
        <f>"03 84 23 87 98"</f>
        <v>03 84 23 87 98</v>
      </c>
      <c r="L3059" s="1">
        <v>22859</v>
      </c>
      <c r="M3059" t="str">
        <f t="shared" si="430"/>
        <v>124</v>
      </c>
      <c r="N3059" t="str">
        <f t="shared" si="431"/>
        <v>Centre de Santé</v>
      </c>
      <c r="O3059" t="str">
        <f>"60"</f>
        <v>60</v>
      </c>
      <c r="P3059" t="str">
        <f>"Association Loi 1901 non Reconnue d'Utilité Publique"</f>
        <v>Association Loi 1901 non Reconnue d'Utilité Publique</v>
      </c>
      <c r="Q3059" t="str">
        <f t="shared" si="432"/>
        <v>36</v>
      </c>
      <c r="R3059" t="str">
        <f t="shared" si="433"/>
        <v>Tarifs conventionnels assurance maladie</v>
      </c>
      <c r="U3059" t="str">
        <f>"250001146"</f>
        <v>250001146</v>
      </c>
    </row>
    <row r="3060" spans="1:21" x14ac:dyDescent="0.3">
      <c r="A3060" t="str">
        <f>"220018105"</f>
        <v>220018105</v>
      </c>
      <c r="B3060" t="str">
        <f>"519 033 989 00178"</f>
        <v>519 033 989 00178</v>
      </c>
      <c r="D3060" t="str">
        <f>"CDS DENTAIRE MUTUALISTE ST-BRIEUC"</f>
        <v>CDS DENTAIRE MUTUALISTE ST-BRIEUC</v>
      </c>
      <c r="F3060" t="str">
        <f>"16 RUE JULES FERRY"</f>
        <v>16 RUE JULES FERRY</v>
      </c>
      <c r="H3060" t="str">
        <f>"22000"</f>
        <v>22000</v>
      </c>
      <c r="I3060" t="str">
        <f>"ST BRIEUC"</f>
        <v>ST BRIEUC</v>
      </c>
      <c r="J3060" t="str">
        <f>"02 96 94 00 58 "</f>
        <v xml:space="preserve">02 96 94 00 58 </v>
      </c>
      <c r="K3060" t="str">
        <f>"02 96 94 73 80"</f>
        <v>02 96 94 73 80</v>
      </c>
      <c r="L3060" s="1">
        <v>22737</v>
      </c>
      <c r="M3060" t="str">
        <f t="shared" si="430"/>
        <v>124</v>
      </c>
      <c r="N3060" t="str">
        <f t="shared" si="431"/>
        <v>Centre de Santé</v>
      </c>
      <c r="O3060" t="str">
        <f>"47"</f>
        <v>47</v>
      </c>
      <c r="P3060" t="str">
        <f>"Société Mutualiste"</f>
        <v>Société Mutualiste</v>
      </c>
      <c r="Q3060" t="str">
        <f t="shared" si="432"/>
        <v>36</v>
      </c>
      <c r="R3060" t="str">
        <f t="shared" si="433"/>
        <v>Tarifs conventionnels assurance maladie</v>
      </c>
      <c r="U3060" t="str">
        <f>"560030710"</f>
        <v>560030710</v>
      </c>
    </row>
    <row r="3061" spans="1:21" x14ac:dyDescent="0.3">
      <c r="A3061" t="str">
        <f>"420013633"</f>
        <v>420013633</v>
      </c>
      <c r="B3061" t="str">
        <f>"319 754 404 00048"</f>
        <v>319 754 404 00048</v>
      </c>
      <c r="D3061" t="str">
        <f>"CPEF - MFPF"</f>
        <v>CPEF - MFPF</v>
      </c>
      <c r="F3061" t="str">
        <f>"16 RUE POLIGNAIS"</f>
        <v>16 RUE POLIGNAIS</v>
      </c>
      <c r="H3061" t="str">
        <f>"42000"</f>
        <v>42000</v>
      </c>
      <c r="I3061" t="str">
        <f>"ST ETIENNE"</f>
        <v>ST ETIENNE</v>
      </c>
      <c r="J3061" t="str">
        <f>"04 77 25 24 91 "</f>
        <v xml:space="preserve">04 77 25 24 91 </v>
      </c>
      <c r="L3061" s="1">
        <v>22737</v>
      </c>
      <c r="M3061" t="str">
        <f t="shared" si="430"/>
        <v>124</v>
      </c>
      <c r="N3061" t="str">
        <f t="shared" si="431"/>
        <v>Centre de Santé</v>
      </c>
      <c r="O3061" t="str">
        <f>"60"</f>
        <v>60</v>
      </c>
      <c r="P3061" t="str">
        <f>"Association Loi 1901 non Reconnue d'Utilité Publique"</f>
        <v>Association Loi 1901 non Reconnue d'Utilité Publique</v>
      </c>
      <c r="Q3061" t="str">
        <f t="shared" si="432"/>
        <v>36</v>
      </c>
      <c r="R3061" t="str">
        <f t="shared" si="433"/>
        <v>Tarifs conventionnels assurance maladie</v>
      </c>
      <c r="U3061" t="str">
        <f>"420785396"</f>
        <v>420785396</v>
      </c>
    </row>
    <row r="3062" spans="1:21" x14ac:dyDescent="0.3">
      <c r="A3062" t="str">
        <f>"930010103"</f>
        <v>930010103</v>
      </c>
      <c r="B3062" t="str">
        <f>"219 300 076 00391"</f>
        <v>219 300 076 00391</v>
      </c>
      <c r="D3062" t="str">
        <f>"CDS MUNICIPAL FERNAND LAMAZE"</f>
        <v>CDS MUNICIPAL FERNAND LAMAZE</v>
      </c>
      <c r="F3062" t="str">
        <f>"119 AVENUE PAUL VAILLANT COUTURIER"</f>
        <v>119 AVENUE PAUL VAILLANT COUTURIER</v>
      </c>
      <c r="H3062" t="str">
        <f>"93150"</f>
        <v>93150</v>
      </c>
      <c r="I3062" t="str">
        <f>"LE BLANC MESNIL"</f>
        <v>LE BLANC MESNIL</v>
      </c>
      <c r="J3062" t="str">
        <f>"01 48 66 64 00 "</f>
        <v xml:space="preserve">01 48 66 64 00 </v>
      </c>
      <c r="K3062" t="str">
        <f>"01 45 91 70 18"</f>
        <v>01 45 91 70 18</v>
      </c>
      <c r="L3062" s="1">
        <v>22720</v>
      </c>
      <c r="M3062" t="str">
        <f t="shared" si="430"/>
        <v>124</v>
      </c>
      <c r="N3062" t="str">
        <f t="shared" si="431"/>
        <v>Centre de Santé</v>
      </c>
      <c r="O3062" t="str">
        <f>"03"</f>
        <v>03</v>
      </c>
      <c r="P3062" t="str">
        <f>"Commune"</f>
        <v>Commune</v>
      </c>
      <c r="Q3062" t="str">
        <f t="shared" si="432"/>
        <v>36</v>
      </c>
      <c r="R3062" t="str">
        <f t="shared" si="433"/>
        <v>Tarifs conventionnels assurance maladie</v>
      </c>
      <c r="U3062" t="str">
        <f>"930812896"</f>
        <v>930812896</v>
      </c>
    </row>
    <row r="3063" spans="1:21" x14ac:dyDescent="0.3">
      <c r="A3063" t="str">
        <f>"020008629"</f>
        <v>020008629</v>
      </c>
      <c r="B3063" t="str">
        <f>"775 672 272 19751"</f>
        <v>775 672 272 19751</v>
      </c>
      <c r="D3063" t="str">
        <f>"CSI CHAUNY"</f>
        <v>CSI CHAUNY</v>
      </c>
      <c r="F3063" t="str">
        <f>"108 RUE PASTEUR"</f>
        <v>108 RUE PASTEUR</v>
      </c>
      <c r="H3063" t="str">
        <f>"02300"</f>
        <v>02300</v>
      </c>
      <c r="I3063" t="str">
        <f>"CHAUNY"</f>
        <v>CHAUNY</v>
      </c>
      <c r="J3063" t="str">
        <f>"03 23 52 02 56 "</f>
        <v xml:space="preserve">03 23 52 02 56 </v>
      </c>
      <c r="K3063" t="str">
        <f>"03 23 39 82 58"</f>
        <v>03 23 39 82 58</v>
      </c>
      <c r="L3063" s="1">
        <v>22647</v>
      </c>
      <c r="M3063" t="str">
        <f t="shared" si="430"/>
        <v>124</v>
      </c>
      <c r="N3063" t="str">
        <f t="shared" si="431"/>
        <v>Centre de Santé</v>
      </c>
      <c r="O3063" t="str">
        <f>"61"</f>
        <v>61</v>
      </c>
      <c r="P3063" t="str">
        <f>"Association Loi 1901 Reconnue d'Utilité Publique"</f>
        <v>Association Loi 1901 Reconnue d'Utilité Publique</v>
      </c>
      <c r="Q3063" t="str">
        <f t="shared" si="432"/>
        <v>36</v>
      </c>
      <c r="R3063" t="str">
        <f t="shared" si="433"/>
        <v>Tarifs conventionnels assurance maladie</v>
      </c>
      <c r="U3063" t="str">
        <f>"750721334"</f>
        <v>750721334</v>
      </c>
    </row>
    <row r="3064" spans="1:21" x14ac:dyDescent="0.3">
      <c r="A3064" t="str">
        <f>"930010194"</f>
        <v>930010194</v>
      </c>
      <c r="B3064" t="str">
        <f>"219 300 100 00324"</f>
        <v>219 300 100 00324</v>
      </c>
      <c r="D3064" t="str">
        <f>"CDS MUNICIPAL HENRI TAULEIGNE"</f>
        <v>CDS MUNICIPAL HENRI TAULEIGNE</v>
      </c>
      <c r="F3064" t="str">
        <f>"38 AVENUE DE LA REPUBLIQUE"</f>
        <v>38 AVENUE DE LA REPUBLIQUE</v>
      </c>
      <c r="H3064" t="str">
        <f>"93140"</f>
        <v>93140</v>
      </c>
      <c r="I3064" t="str">
        <f>"BONDY"</f>
        <v>BONDY</v>
      </c>
      <c r="J3064" t="str">
        <f>"01 48 47 02 60 "</f>
        <v xml:space="preserve">01 48 47 02 60 </v>
      </c>
      <c r="K3064" t="str">
        <f>"01 48 02 18 92"</f>
        <v>01 48 02 18 92</v>
      </c>
      <c r="L3064" s="1">
        <v>22634</v>
      </c>
      <c r="M3064" t="str">
        <f t="shared" si="430"/>
        <v>124</v>
      </c>
      <c r="N3064" t="str">
        <f t="shared" si="431"/>
        <v>Centre de Santé</v>
      </c>
      <c r="O3064" t="str">
        <f>"03"</f>
        <v>03</v>
      </c>
      <c r="P3064" t="str">
        <f>"Commune"</f>
        <v>Commune</v>
      </c>
      <c r="Q3064" t="str">
        <f t="shared" si="432"/>
        <v>36</v>
      </c>
      <c r="R3064" t="str">
        <f t="shared" si="433"/>
        <v>Tarifs conventionnels assurance maladie</v>
      </c>
      <c r="U3064" t="str">
        <f>"930812912"</f>
        <v>930812912</v>
      </c>
    </row>
    <row r="3065" spans="1:21" x14ac:dyDescent="0.3">
      <c r="A3065" t="str">
        <f>"940010309"</f>
        <v>940010309</v>
      </c>
      <c r="B3065" t="str">
        <f>"219 400 769 00440"</f>
        <v>219 400 769 00440</v>
      </c>
      <c r="D3065" t="str">
        <f>"CDS PIERRE ROUQUES SITE MARX"</f>
        <v>CDS PIERRE ROUQUES SITE MARX</v>
      </c>
      <c r="F3065" t="str">
        <f>"43 AVENUE KARL MARX"</f>
        <v>43 AVENUE KARL MARX</v>
      </c>
      <c r="H3065" t="str">
        <f>"94800"</f>
        <v>94800</v>
      </c>
      <c r="I3065" t="str">
        <f>"VILLEJUIF"</f>
        <v>VILLEJUIF</v>
      </c>
      <c r="J3065" t="str">
        <f>"01 45 59 23 70 "</f>
        <v xml:space="preserve">01 45 59 23 70 </v>
      </c>
      <c r="K3065" t="str">
        <f>"01 45 59 23 71"</f>
        <v>01 45 59 23 71</v>
      </c>
      <c r="L3065" s="1">
        <v>22574</v>
      </c>
      <c r="M3065" t="str">
        <f t="shared" si="430"/>
        <v>124</v>
      </c>
      <c r="N3065" t="str">
        <f t="shared" si="431"/>
        <v>Centre de Santé</v>
      </c>
      <c r="O3065" t="str">
        <f>"03"</f>
        <v>03</v>
      </c>
      <c r="P3065" t="str">
        <f>"Commune"</f>
        <v>Commune</v>
      </c>
      <c r="Q3065" t="str">
        <f t="shared" si="432"/>
        <v>36</v>
      </c>
      <c r="R3065" t="str">
        <f t="shared" si="433"/>
        <v>Tarifs conventionnels assurance maladie</v>
      </c>
      <c r="U3065" t="str">
        <f>"940806771"</f>
        <v>940806771</v>
      </c>
    </row>
    <row r="3066" spans="1:21" x14ac:dyDescent="0.3">
      <c r="A3066" t="str">
        <f>"500002043"</f>
        <v>500002043</v>
      </c>
      <c r="B3066" t="str">
        <f>"384 335 287 00023"</f>
        <v>384 335 287 00023</v>
      </c>
      <c r="D3066" t="str">
        <f>"CENTRE DE SOINS INFIRMIERS- TESSY/VIRE"</f>
        <v>CENTRE DE SOINS INFIRMIERS- TESSY/VIRE</v>
      </c>
      <c r="F3066" t="str">
        <f>"5 PLACE JEAN CLAUDE LEMOINE"</f>
        <v>5 PLACE JEAN CLAUDE LEMOINE</v>
      </c>
      <c r="H3066" t="str">
        <f>"50420"</f>
        <v>50420</v>
      </c>
      <c r="I3066" t="str">
        <f>"TESSY BOCAGE"</f>
        <v>TESSY BOCAGE</v>
      </c>
      <c r="J3066" t="str">
        <f>"02 33 56 36 18 "</f>
        <v xml:space="preserve">02 33 56 36 18 </v>
      </c>
      <c r="L3066" s="1">
        <v>22555</v>
      </c>
      <c r="M3066" t="str">
        <f t="shared" si="430"/>
        <v>124</v>
      </c>
      <c r="N3066" t="str">
        <f t="shared" si="431"/>
        <v>Centre de Santé</v>
      </c>
      <c r="O3066" t="str">
        <f>"60"</f>
        <v>60</v>
      </c>
      <c r="P3066" t="str">
        <f>"Association Loi 1901 non Reconnue d'Utilité Publique"</f>
        <v>Association Loi 1901 non Reconnue d'Utilité Publique</v>
      </c>
      <c r="Q3066" t="str">
        <f t="shared" si="432"/>
        <v>36</v>
      </c>
      <c r="R3066" t="str">
        <f t="shared" si="433"/>
        <v>Tarifs conventionnels assurance maladie</v>
      </c>
      <c r="U3066" t="str">
        <f>"500016290"</f>
        <v>500016290</v>
      </c>
    </row>
    <row r="3067" spans="1:21" x14ac:dyDescent="0.3">
      <c r="A3067" t="str">
        <f>"130785934"</f>
        <v>130785934</v>
      </c>
      <c r="D3067" t="str">
        <f>"CSP OXANCE JOLIOT-CURIE"</f>
        <v>CSP OXANCE JOLIOT-CURIE</v>
      </c>
      <c r="F3067" t="str">
        <f>"117 AVENUE GABRIEL PERI"</f>
        <v>117 AVENUE GABRIEL PERI</v>
      </c>
      <c r="H3067" t="str">
        <f>"13230"</f>
        <v>13230</v>
      </c>
      <c r="I3067" t="str">
        <f>"PORT ST LOUIS DU RHONE"</f>
        <v>PORT ST LOUIS DU RHONE</v>
      </c>
      <c r="J3067" t="str">
        <f>"04 42 86 50 00 "</f>
        <v xml:space="preserve">04 42 86 50 00 </v>
      </c>
      <c r="L3067" s="1">
        <v>22525</v>
      </c>
      <c r="M3067" t="str">
        <f t="shared" si="430"/>
        <v>124</v>
      </c>
      <c r="N3067" t="str">
        <f t="shared" si="431"/>
        <v>Centre de Santé</v>
      </c>
      <c r="O3067" t="str">
        <f>"47"</f>
        <v>47</v>
      </c>
      <c r="P3067" t="str">
        <f>"Société Mutualiste"</f>
        <v>Société Mutualiste</v>
      </c>
      <c r="Q3067" t="str">
        <f t="shared" si="432"/>
        <v>36</v>
      </c>
      <c r="R3067" t="str">
        <f t="shared" si="433"/>
        <v>Tarifs conventionnels assurance maladie</v>
      </c>
      <c r="U3067" t="str">
        <f>"690048111"</f>
        <v>690048111</v>
      </c>
    </row>
    <row r="3068" spans="1:21" x14ac:dyDescent="0.3">
      <c r="A3068" t="str">
        <f>"950010017"</f>
        <v>950010017</v>
      </c>
      <c r="B3068" t="str">
        <f>"219 500 188 00749"</f>
        <v>219 500 188 00749</v>
      </c>
      <c r="D3068" t="str">
        <f>"CDS FERNAND GOULENE"</f>
        <v>CDS FERNAND GOULENE</v>
      </c>
      <c r="F3068" t="str">
        <f>"21 RUE DEFRESNE BAST"</f>
        <v>21 RUE DEFRESNE BAST</v>
      </c>
      <c r="H3068" t="str">
        <f>"95100"</f>
        <v>95100</v>
      </c>
      <c r="I3068" t="str">
        <f>"ARGENTEUIL"</f>
        <v>ARGENTEUIL</v>
      </c>
      <c r="J3068" t="str">
        <f>"01 34 23 44 72 "</f>
        <v xml:space="preserve">01 34 23 44 72 </v>
      </c>
      <c r="K3068" t="str">
        <f>"01 34 23 45 65"</f>
        <v>01 34 23 45 65</v>
      </c>
      <c r="L3068" s="1">
        <v>22525</v>
      </c>
      <c r="M3068" t="str">
        <f t="shared" si="430"/>
        <v>124</v>
      </c>
      <c r="N3068" t="str">
        <f t="shared" si="431"/>
        <v>Centre de Santé</v>
      </c>
      <c r="O3068" t="str">
        <f>"03"</f>
        <v>03</v>
      </c>
      <c r="P3068" t="str">
        <f>"Commune"</f>
        <v>Commune</v>
      </c>
      <c r="Q3068" t="str">
        <f t="shared" si="432"/>
        <v>36</v>
      </c>
      <c r="R3068" t="str">
        <f t="shared" si="433"/>
        <v>Tarifs conventionnels assurance maladie</v>
      </c>
      <c r="U3068" t="str">
        <f>"950802397"</f>
        <v>950802397</v>
      </c>
    </row>
    <row r="3069" spans="1:21" x14ac:dyDescent="0.3">
      <c r="A3069" t="str">
        <f>"750040545"</f>
        <v>750040545</v>
      </c>
      <c r="B3069" t="str">
        <f>"784 756 603 00063"</f>
        <v>784 756 603 00063</v>
      </c>
      <c r="D3069" t="str">
        <f>"CDS SOINS INFIRMIERS ESPOIR ET SANTE"</f>
        <v>CDS SOINS INFIRMIERS ESPOIR ET SANTE</v>
      </c>
      <c r="F3069" t="str">
        <f>"118 RUE MARCADET"</f>
        <v>118 RUE MARCADET</v>
      </c>
      <c r="H3069" t="str">
        <f>"75018"</f>
        <v>75018</v>
      </c>
      <c r="I3069" t="str">
        <f>"PARIS"</f>
        <v>PARIS</v>
      </c>
      <c r="J3069" t="str">
        <f>"01 42 52 57 57 "</f>
        <v xml:space="preserve">01 42 52 57 57 </v>
      </c>
      <c r="L3069" s="1">
        <v>22494</v>
      </c>
      <c r="M3069" t="str">
        <f t="shared" si="430"/>
        <v>124</v>
      </c>
      <c r="N3069" t="str">
        <f t="shared" si="431"/>
        <v>Centre de Santé</v>
      </c>
      <c r="O3069" t="str">
        <f>"61"</f>
        <v>61</v>
      </c>
      <c r="P3069" t="str">
        <f>"Association Loi 1901 Reconnue d'Utilité Publique"</f>
        <v>Association Loi 1901 Reconnue d'Utilité Publique</v>
      </c>
      <c r="Q3069" t="str">
        <f t="shared" si="432"/>
        <v>36</v>
      </c>
      <c r="R3069" t="str">
        <f t="shared" si="433"/>
        <v>Tarifs conventionnels assurance maladie</v>
      </c>
      <c r="U3069" t="str">
        <f>"750801284"</f>
        <v>750801284</v>
      </c>
    </row>
    <row r="3070" spans="1:21" x14ac:dyDescent="0.3">
      <c r="A3070" t="str">
        <f>"620111252"</f>
        <v>620111252</v>
      </c>
      <c r="D3070" t="str">
        <f>"CENTRE DE SANTÉ  DENTAIRE BETHUNE"</f>
        <v>CENTRE DE SANTÉ  DENTAIRE BETHUNE</v>
      </c>
      <c r="F3070" t="str">
        <f>"243 BOULEVARD JEAN MOULIN"</f>
        <v>243 BOULEVARD JEAN MOULIN</v>
      </c>
      <c r="H3070" t="str">
        <f>"62400"</f>
        <v>62400</v>
      </c>
      <c r="I3070" t="str">
        <f>"BETHUNE"</f>
        <v>BETHUNE</v>
      </c>
      <c r="J3070" t="str">
        <f>"03 21 68 30 19 "</f>
        <v xml:space="preserve">03 21 68 30 19 </v>
      </c>
      <c r="K3070" t="str">
        <f>"03 21 61 32 14"</f>
        <v>03 21 61 32 14</v>
      </c>
      <c r="L3070" s="1">
        <v>22469</v>
      </c>
      <c r="M3070" t="str">
        <f t="shared" si="430"/>
        <v>124</v>
      </c>
      <c r="N3070" t="str">
        <f t="shared" si="431"/>
        <v>Centre de Santé</v>
      </c>
      <c r="O3070" t="str">
        <f>"47"</f>
        <v>47</v>
      </c>
      <c r="P3070" t="str">
        <f>"Société Mutualiste"</f>
        <v>Société Mutualiste</v>
      </c>
      <c r="Q3070" t="str">
        <f t="shared" si="432"/>
        <v>36</v>
      </c>
      <c r="R3070" t="str">
        <f t="shared" si="433"/>
        <v>Tarifs conventionnels assurance maladie</v>
      </c>
      <c r="U3070" t="str">
        <f>"590024469"</f>
        <v>590024469</v>
      </c>
    </row>
    <row r="3071" spans="1:21" x14ac:dyDescent="0.3">
      <c r="A3071" t="str">
        <f>"750010332"</f>
        <v>750010332</v>
      </c>
      <c r="B3071" t="str">
        <f>"217 500 016 16510"</f>
        <v>217 500 016 16510</v>
      </c>
      <c r="D3071" t="str">
        <f>"CDS MEDICAL ET DENTAIRE"</f>
        <v>CDS MEDICAL ET DENTAIRE</v>
      </c>
      <c r="F3071" t="str">
        <f>"3 RUE DE L'EPEE DE BOIS"</f>
        <v>3 RUE DE L'EPEE DE BOIS</v>
      </c>
      <c r="H3071" t="str">
        <f>"75005"</f>
        <v>75005</v>
      </c>
      <c r="I3071" t="str">
        <f>"PARIS"</f>
        <v>PARIS</v>
      </c>
      <c r="J3071" t="str">
        <f>"01 43 47 74 80 "</f>
        <v xml:space="preserve">01 43 47 74 80 </v>
      </c>
      <c r="K3071" t="str">
        <f>"01 43 31 05 48"</f>
        <v>01 43 31 05 48</v>
      </c>
      <c r="L3071" s="1">
        <v>22447</v>
      </c>
      <c r="M3071" t="str">
        <f t="shared" si="430"/>
        <v>124</v>
      </c>
      <c r="N3071" t="str">
        <f t="shared" si="431"/>
        <v>Centre de Santé</v>
      </c>
      <c r="O3071" t="str">
        <f>"02"</f>
        <v>02</v>
      </c>
      <c r="P3071" t="str">
        <f>"Département"</f>
        <v>Département</v>
      </c>
      <c r="Q3071" t="str">
        <f t="shared" si="432"/>
        <v>36</v>
      </c>
      <c r="R3071" t="str">
        <f t="shared" si="433"/>
        <v>Tarifs conventionnels assurance maladie</v>
      </c>
      <c r="U3071" t="str">
        <f>"750002008"</f>
        <v>750002008</v>
      </c>
    </row>
    <row r="3072" spans="1:21" x14ac:dyDescent="0.3">
      <c r="A3072" t="str">
        <f>"750011199"</f>
        <v>750011199</v>
      </c>
      <c r="B3072" t="str">
        <f>"784 543 472 00012"</f>
        <v>784 543 472 00012</v>
      </c>
      <c r="D3072" t="str">
        <f>"CDS MEDICAL  HAHNEMANN"</f>
        <v>CDS MEDICAL  HAHNEMANN</v>
      </c>
      <c r="E3072" t="str">
        <f>"1 RUE VERGNIAUD"</f>
        <v>1 RUE VERGNIAUD</v>
      </c>
      <c r="F3072" t="str">
        <f>"99 BOULEVARD AUGUSTE BLANQUI"</f>
        <v>99 BOULEVARD AUGUSTE BLANQUI</v>
      </c>
      <c r="H3072" t="str">
        <f>"75013"</f>
        <v>75013</v>
      </c>
      <c r="I3072" t="str">
        <f>"PARIS"</f>
        <v>PARIS</v>
      </c>
      <c r="J3072" t="str">
        <f>"01 45 80 15 03 "</f>
        <v xml:space="preserve">01 45 80 15 03 </v>
      </c>
      <c r="K3072" t="str">
        <f>"01 53 62 06 02"</f>
        <v>01 53 62 06 02</v>
      </c>
      <c r="L3072" s="1">
        <v>22447</v>
      </c>
      <c r="M3072" t="str">
        <f t="shared" si="430"/>
        <v>124</v>
      </c>
      <c r="N3072" t="str">
        <f t="shared" si="431"/>
        <v>Centre de Santé</v>
      </c>
      <c r="O3072" t="str">
        <f>"61"</f>
        <v>61</v>
      </c>
      <c r="P3072" t="str">
        <f>"Association Loi 1901 Reconnue d'Utilité Publique"</f>
        <v>Association Loi 1901 Reconnue d'Utilité Publique</v>
      </c>
      <c r="Q3072" t="str">
        <f t="shared" si="432"/>
        <v>36</v>
      </c>
      <c r="R3072" t="str">
        <f t="shared" si="433"/>
        <v>Tarifs conventionnels assurance maladie</v>
      </c>
      <c r="U3072" t="str">
        <f>"750821027"</f>
        <v>750821027</v>
      </c>
    </row>
    <row r="3073" spans="1:21" x14ac:dyDescent="0.3">
      <c r="A3073" t="str">
        <f>"750011397"</f>
        <v>750011397</v>
      </c>
      <c r="B3073" t="str">
        <f>"267 500 049 01047"</f>
        <v>267 500 049 01047</v>
      </c>
      <c r="D3073" t="str">
        <f>"CDS CENTRE D ACTION SOCIALE DE PARIS"</f>
        <v>CDS CENTRE D ACTION SOCIALE DE PARIS</v>
      </c>
      <c r="E3073" t="str">
        <f>"6-8"</f>
        <v>6-8</v>
      </c>
      <c r="F3073" t="str">
        <f>"6 AVENUE RENE COTY"</f>
        <v>6 AVENUE RENE COTY</v>
      </c>
      <c r="H3073" t="str">
        <f>"75014"</f>
        <v>75014</v>
      </c>
      <c r="I3073" t="str">
        <f>"PARIS"</f>
        <v>PARIS</v>
      </c>
      <c r="J3073" t="str">
        <f>"01 43 27 54 15 "</f>
        <v xml:space="preserve">01 43 27 54 15 </v>
      </c>
      <c r="L3073" s="1">
        <v>22447</v>
      </c>
      <c r="M3073" t="str">
        <f t="shared" si="430"/>
        <v>124</v>
      </c>
      <c r="N3073" t="str">
        <f t="shared" si="431"/>
        <v>Centre de Santé</v>
      </c>
      <c r="O3073" t="str">
        <f>"17"</f>
        <v>17</v>
      </c>
      <c r="P3073" t="str">
        <f>"Centre Communal d'Action Sociale"</f>
        <v>Centre Communal d'Action Sociale</v>
      </c>
      <c r="Q3073" t="str">
        <f t="shared" si="432"/>
        <v>36</v>
      </c>
      <c r="R3073" t="str">
        <f t="shared" si="433"/>
        <v>Tarifs conventionnels assurance maladie</v>
      </c>
      <c r="U3073" t="str">
        <f>"750720583"</f>
        <v>750720583</v>
      </c>
    </row>
    <row r="3074" spans="1:21" x14ac:dyDescent="0.3">
      <c r="A3074" t="str">
        <f>"750011488"</f>
        <v>750011488</v>
      </c>
      <c r="D3074" t="str">
        <f>"CDS MEDICAL ET DENTAIRE VIALA"</f>
        <v>CDS MEDICAL ET DENTAIRE VIALA</v>
      </c>
      <c r="F3074" t="str">
        <f>"21 RUE DU MOULINET"</f>
        <v>21 RUE DU MOULINET</v>
      </c>
      <c r="H3074" t="str">
        <f>"75013"</f>
        <v>75013</v>
      </c>
      <c r="I3074" t="str">
        <f>"PARIS"</f>
        <v>PARIS</v>
      </c>
      <c r="J3074" t="str">
        <f>"01 53 95 30 00 "</f>
        <v xml:space="preserve">01 53 95 30 00 </v>
      </c>
      <c r="K3074" t="str">
        <f>"01 53 95 30 02"</f>
        <v>01 53 95 30 02</v>
      </c>
      <c r="L3074" s="1">
        <v>22447</v>
      </c>
      <c r="M3074" t="str">
        <f t="shared" ref="M3074:M3137" si="434">"124"</f>
        <v>124</v>
      </c>
      <c r="N3074" t="str">
        <f t="shared" ref="N3074:N3137" si="435">"Centre de Santé"</f>
        <v>Centre de Santé</v>
      </c>
      <c r="O3074" t="str">
        <f>"60"</f>
        <v>60</v>
      </c>
      <c r="P3074" t="str">
        <f>"Association Loi 1901 non Reconnue d'Utilité Publique"</f>
        <v>Association Loi 1901 non Reconnue d'Utilité Publique</v>
      </c>
      <c r="Q3074" t="str">
        <f t="shared" si="432"/>
        <v>36</v>
      </c>
      <c r="R3074" t="str">
        <f t="shared" si="433"/>
        <v>Tarifs conventionnels assurance maladie</v>
      </c>
      <c r="U3074" t="str">
        <f>"750058596"</f>
        <v>750058596</v>
      </c>
    </row>
    <row r="3075" spans="1:21" x14ac:dyDescent="0.3">
      <c r="A3075" t="str">
        <f>"910020072"</f>
        <v>910020072</v>
      </c>
      <c r="B3075" t="str">
        <f>"323 722 165 00046"</f>
        <v>323 722 165 00046</v>
      </c>
      <c r="D3075" t="str">
        <f>"CDS CLINIQUE DENTAIRE DE LA CPAM 91"</f>
        <v>CDS CLINIQUE DENTAIRE DE LA CPAM 91</v>
      </c>
      <c r="F3075" t="str">
        <f>"26 RUE SACLAS"</f>
        <v>26 RUE SACLAS</v>
      </c>
      <c r="H3075" t="str">
        <f>"91150"</f>
        <v>91150</v>
      </c>
      <c r="I3075" t="str">
        <f>"ETAMPES"</f>
        <v>ETAMPES</v>
      </c>
      <c r="J3075" t="str">
        <f>"01 78 65 31 18 "</f>
        <v xml:space="preserve">01 78 65 31 18 </v>
      </c>
      <c r="K3075" t="str">
        <f>"01 78 65 30 45"</f>
        <v>01 78 65 30 45</v>
      </c>
      <c r="L3075" s="1">
        <v>22447</v>
      </c>
      <c r="M3075" t="str">
        <f t="shared" si="434"/>
        <v>124</v>
      </c>
      <c r="N3075" t="str">
        <f t="shared" si="435"/>
        <v>Centre de Santé</v>
      </c>
      <c r="O3075" t="str">
        <f>"40"</f>
        <v>40</v>
      </c>
      <c r="P3075" t="str">
        <f>"Régime Général de Sécurité Sociale"</f>
        <v>Régime Général de Sécurité Sociale</v>
      </c>
      <c r="Q3075" t="str">
        <f t="shared" si="432"/>
        <v>36</v>
      </c>
      <c r="R3075" t="str">
        <f t="shared" si="433"/>
        <v>Tarifs conventionnels assurance maladie</v>
      </c>
      <c r="U3075" t="str">
        <f>"910807890"</f>
        <v>910807890</v>
      </c>
    </row>
    <row r="3076" spans="1:21" x14ac:dyDescent="0.3">
      <c r="A3076" t="str">
        <f>"930010202"</f>
        <v>930010202</v>
      </c>
      <c r="B3076" t="str">
        <f>"219 300 134 00190"</f>
        <v>219 300 134 00190</v>
      </c>
      <c r="D3076" t="str">
        <f>"CDS MEDICO-SOCIAL MUNICIPAL"</f>
        <v>CDS MEDICO-SOCIAL MUNICIPAL</v>
      </c>
      <c r="F3076" t="str">
        <f>"86 AVENUE DE LA DIVISION LECLERC"</f>
        <v>86 AVENUE DE LA DIVISION LECLERC</v>
      </c>
      <c r="H3076" t="str">
        <f>"93350"</f>
        <v>93350</v>
      </c>
      <c r="I3076" t="str">
        <f>"LE BOURGET"</f>
        <v>LE BOURGET</v>
      </c>
      <c r="J3076" t="str">
        <f>"01 43 11 26 60 "</f>
        <v xml:space="preserve">01 43 11 26 60 </v>
      </c>
      <c r="L3076" s="1">
        <v>22447</v>
      </c>
      <c r="M3076" t="str">
        <f t="shared" si="434"/>
        <v>124</v>
      </c>
      <c r="N3076" t="str">
        <f t="shared" si="435"/>
        <v>Centre de Santé</v>
      </c>
      <c r="O3076" t="str">
        <f>"03"</f>
        <v>03</v>
      </c>
      <c r="P3076" t="str">
        <f>"Commune"</f>
        <v>Commune</v>
      </c>
      <c r="Q3076" t="str">
        <f t="shared" si="432"/>
        <v>36</v>
      </c>
      <c r="R3076" t="str">
        <f t="shared" si="433"/>
        <v>Tarifs conventionnels assurance maladie</v>
      </c>
      <c r="U3076" t="str">
        <f>"930812920"</f>
        <v>930812920</v>
      </c>
    </row>
    <row r="3077" spans="1:21" x14ac:dyDescent="0.3">
      <c r="A3077" t="str">
        <f>"930010574"</f>
        <v>930010574</v>
      </c>
      <c r="B3077" t="str">
        <f>"219 300 662 00729"</f>
        <v>219 300 662 00729</v>
      </c>
      <c r="D3077" t="str">
        <f>"CDS MUNICIPAL DE SANTE LE CYGNE"</f>
        <v>CDS MUNICIPAL DE SANTE LE CYGNE</v>
      </c>
      <c r="F3077" t="str">
        <f>"6 RUE DU CYGNE"</f>
        <v>6 RUE DU CYGNE</v>
      </c>
      <c r="H3077" t="str">
        <f>"93200"</f>
        <v>93200</v>
      </c>
      <c r="I3077" t="str">
        <f>"ST DENIS"</f>
        <v>ST DENIS</v>
      </c>
      <c r="J3077" t="str">
        <f>"01 83 72 20 20 "</f>
        <v xml:space="preserve">01 83 72 20 20 </v>
      </c>
      <c r="L3077" s="1">
        <v>22447</v>
      </c>
      <c r="M3077" t="str">
        <f t="shared" si="434"/>
        <v>124</v>
      </c>
      <c r="N3077" t="str">
        <f t="shared" si="435"/>
        <v>Centre de Santé</v>
      </c>
      <c r="O3077" t="str">
        <f>"03"</f>
        <v>03</v>
      </c>
      <c r="P3077" t="str">
        <f>"Commune"</f>
        <v>Commune</v>
      </c>
      <c r="Q3077" t="str">
        <f t="shared" si="432"/>
        <v>36</v>
      </c>
      <c r="R3077" t="str">
        <f t="shared" si="433"/>
        <v>Tarifs conventionnels assurance maladie</v>
      </c>
      <c r="U3077" t="str">
        <f>"930813159"</f>
        <v>930813159</v>
      </c>
    </row>
    <row r="3078" spans="1:21" x14ac:dyDescent="0.3">
      <c r="A3078" t="str">
        <f>"330781394"</f>
        <v>330781394</v>
      </c>
      <c r="B3078" t="str">
        <f>"782 021 307 00031"</f>
        <v>782 021 307 00031</v>
      </c>
      <c r="D3078" t="str">
        <f>"CENTRE DE SANTE DE BAGATELLE"</f>
        <v>CENTRE DE SANTE DE BAGATELLE</v>
      </c>
      <c r="F3078" t="str">
        <f>"203 ROUTE DE TOULOUSE"</f>
        <v>203 ROUTE DE TOULOUSE</v>
      </c>
      <c r="G3078" t="str">
        <f>"BP 50048"</f>
        <v>BP 50048</v>
      </c>
      <c r="H3078" t="str">
        <f>"33401"</f>
        <v>33401</v>
      </c>
      <c r="I3078" t="str">
        <f>"TALENCE CEDEX"</f>
        <v>TALENCE CEDEX</v>
      </c>
      <c r="J3078" t="str">
        <f>"05 57 12 40 32 "</f>
        <v xml:space="preserve">05 57 12 40 32 </v>
      </c>
      <c r="K3078" t="str">
        <f>"05 57 12 34 30"</f>
        <v>05 57 12 34 30</v>
      </c>
      <c r="L3078" s="1">
        <v>22438</v>
      </c>
      <c r="M3078" t="str">
        <f t="shared" si="434"/>
        <v>124</v>
      </c>
      <c r="N3078" t="str">
        <f t="shared" si="435"/>
        <v>Centre de Santé</v>
      </c>
      <c r="O3078" t="str">
        <f>"63"</f>
        <v>63</v>
      </c>
      <c r="P3078" t="str">
        <f>"Fondation"</f>
        <v>Fondation</v>
      </c>
      <c r="Q3078" t="str">
        <f t="shared" si="432"/>
        <v>36</v>
      </c>
      <c r="R3078" t="str">
        <f t="shared" si="433"/>
        <v>Tarifs conventionnels assurance maladie</v>
      </c>
      <c r="U3078" t="str">
        <f>"330780552"</f>
        <v>330780552</v>
      </c>
    </row>
    <row r="3079" spans="1:21" x14ac:dyDescent="0.3">
      <c r="A3079" t="str">
        <f>"750010381"</f>
        <v>750010381</v>
      </c>
      <c r="B3079" t="str">
        <f>"775 663 883 00012"</f>
        <v>775 663 883 00012</v>
      </c>
      <c r="D3079" t="str">
        <f>"CDS MEDICAL ARTHUR VERNES"</f>
        <v>CDS MEDICAL ARTHUR VERNES</v>
      </c>
      <c r="F3079" t="str">
        <f>"36 RUE D ASSAS"</f>
        <v>36 RUE D ASSAS</v>
      </c>
      <c r="H3079" t="str">
        <f>"75006"</f>
        <v>75006</v>
      </c>
      <c r="I3079" t="str">
        <f>"PARIS"</f>
        <v>PARIS</v>
      </c>
      <c r="J3079" t="str">
        <f>"01 44 39 53 00 "</f>
        <v xml:space="preserve">01 44 39 53 00 </v>
      </c>
      <c r="K3079" t="str">
        <f>"01 45 49 27 32"</f>
        <v>01 45 49 27 32</v>
      </c>
      <c r="L3079" s="1">
        <v>22433</v>
      </c>
      <c r="M3079" t="str">
        <f t="shared" si="434"/>
        <v>124</v>
      </c>
      <c r="N3079" t="str">
        <f t="shared" si="435"/>
        <v>Centre de Santé</v>
      </c>
      <c r="O3079" t="str">
        <f>"63"</f>
        <v>63</v>
      </c>
      <c r="P3079" t="str">
        <f>"Fondation"</f>
        <v>Fondation</v>
      </c>
      <c r="Q3079" t="str">
        <f t="shared" si="432"/>
        <v>36</v>
      </c>
      <c r="R3079" t="str">
        <f t="shared" si="433"/>
        <v>Tarifs conventionnels assurance maladie</v>
      </c>
      <c r="U3079" t="str">
        <f>"750813305"</f>
        <v>750813305</v>
      </c>
    </row>
    <row r="3080" spans="1:21" x14ac:dyDescent="0.3">
      <c r="A3080" t="str">
        <f>"750010407"</f>
        <v>750010407</v>
      </c>
      <c r="B3080" t="str">
        <f>"313 524 753 00198"</f>
        <v>313 524 753 00198</v>
      </c>
      <c r="D3080" t="str">
        <f>"CDS SAINT MICHEL"</f>
        <v>CDS SAINT MICHEL</v>
      </c>
      <c r="F3080" t="str">
        <f>"3 RUE THENARD"</f>
        <v>3 RUE THENARD</v>
      </c>
      <c r="H3080" t="str">
        <f>"75005"</f>
        <v>75005</v>
      </c>
      <c r="I3080" t="str">
        <f>"PARIS"</f>
        <v>PARIS</v>
      </c>
      <c r="J3080" t="str">
        <f>"01 53 73 03 03 "</f>
        <v xml:space="preserve">01 53 73 03 03 </v>
      </c>
      <c r="K3080" t="str">
        <f>"01 43 29 35 59"</f>
        <v>01 43 29 35 59</v>
      </c>
      <c r="L3080" s="1">
        <v>22433</v>
      </c>
      <c r="M3080" t="str">
        <f t="shared" si="434"/>
        <v>124</v>
      </c>
      <c r="N3080" t="str">
        <f t="shared" si="435"/>
        <v>Centre de Santé</v>
      </c>
      <c r="O3080" t="str">
        <f>"60"</f>
        <v>60</v>
      </c>
      <c r="P3080" t="str">
        <f>"Association Loi 1901 non Reconnue d'Utilité Publique"</f>
        <v>Association Loi 1901 non Reconnue d'Utilité Publique</v>
      </c>
      <c r="Q3080" t="str">
        <f t="shared" si="432"/>
        <v>36</v>
      </c>
      <c r="R3080" t="str">
        <f t="shared" si="433"/>
        <v>Tarifs conventionnels assurance maladie</v>
      </c>
      <c r="U3080" t="str">
        <f>"750819583"</f>
        <v>750819583</v>
      </c>
    </row>
    <row r="3081" spans="1:21" x14ac:dyDescent="0.3">
      <c r="A3081" t="str">
        <f>"750010704"</f>
        <v>750010704</v>
      </c>
      <c r="B3081" t="str">
        <f>"352 413 488 00029"</f>
        <v>352 413 488 00029</v>
      </c>
      <c r="D3081" t="str">
        <f>"CDS MEDICAL ET DENTAIRE OPERA"</f>
        <v>CDS MEDICAL ET DENTAIRE OPERA</v>
      </c>
      <c r="E3081" t="str">
        <f>"31-33"</f>
        <v>31-33</v>
      </c>
      <c r="F3081" t="str">
        <f>"31 RUE DE CAUMARTIN"</f>
        <v>31 RUE DE CAUMARTIN</v>
      </c>
      <c r="H3081" t="str">
        <f>"75009"</f>
        <v>75009</v>
      </c>
      <c r="I3081" t="str">
        <f>"PARIS"</f>
        <v>PARIS</v>
      </c>
      <c r="J3081" t="str">
        <f>"01 44 51 68 28 "</f>
        <v xml:space="preserve">01 44 51 68 28 </v>
      </c>
      <c r="K3081" t="str">
        <f>"01 44 51 68 29"</f>
        <v>01 44 51 68 29</v>
      </c>
      <c r="L3081" s="1">
        <v>22433</v>
      </c>
      <c r="M3081" t="str">
        <f t="shared" si="434"/>
        <v>124</v>
      </c>
      <c r="N3081" t="str">
        <f t="shared" si="435"/>
        <v>Centre de Santé</v>
      </c>
      <c r="O3081" t="str">
        <f>"60"</f>
        <v>60</v>
      </c>
      <c r="P3081" t="str">
        <f>"Association Loi 1901 non Reconnue d'Utilité Publique"</f>
        <v>Association Loi 1901 non Reconnue d'Utilité Publique</v>
      </c>
      <c r="Q3081" t="str">
        <f t="shared" si="432"/>
        <v>36</v>
      </c>
      <c r="R3081" t="str">
        <f t="shared" si="433"/>
        <v>Tarifs conventionnels assurance maladie</v>
      </c>
      <c r="U3081" t="str">
        <f>"750820987"</f>
        <v>750820987</v>
      </c>
    </row>
    <row r="3082" spans="1:21" x14ac:dyDescent="0.3">
      <c r="A3082" t="str">
        <f>"750010712"</f>
        <v>750010712</v>
      </c>
      <c r="B3082" t="str">
        <f>"784 401 846 00018"</f>
        <v>784 401 846 00018</v>
      </c>
      <c r="D3082" t="str">
        <f>"CDS MEDICAL ET DENTAIRE EUROPE"</f>
        <v>CDS MEDICAL ET DENTAIRE EUROPE</v>
      </c>
      <c r="F3082" t="str">
        <f>"44 RUE D AMSTERDAM"</f>
        <v>44 RUE D AMSTERDAM</v>
      </c>
      <c r="H3082" t="str">
        <f>"75311"</f>
        <v>75311</v>
      </c>
      <c r="I3082" t="str">
        <f>"PARIS CEDEX 09"</f>
        <v>PARIS CEDEX 09</v>
      </c>
      <c r="J3082" t="str">
        <f>"01 42 81 80 06 "</f>
        <v xml:space="preserve">01 42 81 80 06 </v>
      </c>
      <c r="K3082" t="str">
        <f>"01 42 81 80 15"</f>
        <v>01 42 81 80 15</v>
      </c>
      <c r="L3082" s="1">
        <v>22433</v>
      </c>
      <c r="M3082" t="str">
        <f t="shared" si="434"/>
        <v>124</v>
      </c>
      <c r="N3082" t="str">
        <f t="shared" si="435"/>
        <v>Centre de Santé</v>
      </c>
      <c r="O3082" t="str">
        <f>"60"</f>
        <v>60</v>
      </c>
      <c r="P3082" t="str">
        <f>"Association Loi 1901 non Reconnue d'Utilité Publique"</f>
        <v>Association Loi 1901 non Reconnue d'Utilité Publique</v>
      </c>
      <c r="Q3082" t="str">
        <f t="shared" si="432"/>
        <v>36</v>
      </c>
      <c r="R3082" t="str">
        <f t="shared" si="433"/>
        <v>Tarifs conventionnels assurance maladie</v>
      </c>
      <c r="U3082" t="str">
        <f>"750806317"</f>
        <v>750806317</v>
      </c>
    </row>
    <row r="3083" spans="1:21" x14ac:dyDescent="0.3">
      <c r="A3083" t="str">
        <f>"750011066"</f>
        <v>750011066</v>
      </c>
      <c r="B3083" t="str">
        <f>"775 682 313 00074"</f>
        <v>775 682 313 00074</v>
      </c>
      <c r="D3083" t="str">
        <f>"CDS BTP ROBERT POMMIER"</f>
        <v>CDS BTP ROBERT POMMIER</v>
      </c>
      <c r="F3083" t="str">
        <f>"52 AVENUE DU GAL MICHEL BIZOT"</f>
        <v>52 AVENUE DU GAL MICHEL BIZOT</v>
      </c>
      <c r="H3083" t="str">
        <f>"75012"</f>
        <v>75012</v>
      </c>
      <c r="I3083" t="str">
        <f t="shared" ref="I3083:I3091" si="436">"PARIS"</f>
        <v>PARIS</v>
      </c>
      <c r="J3083" t="str">
        <f>"01 53 33 22 22 "</f>
        <v xml:space="preserve">01 53 33 22 22 </v>
      </c>
      <c r="K3083" t="str">
        <f>"01 44 74 01 40"</f>
        <v>01 44 74 01 40</v>
      </c>
      <c r="L3083" s="1">
        <v>22433</v>
      </c>
      <c r="M3083" t="str">
        <f t="shared" si="434"/>
        <v>124</v>
      </c>
      <c r="N3083" t="str">
        <f t="shared" si="435"/>
        <v>Centre de Santé</v>
      </c>
      <c r="O3083" t="str">
        <f>"60"</f>
        <v>60</v>
      </c>
      <c r="P3083" t="str">
        <f>"Association Loi 1901 non Reconnue d'Utilité Publique"</f>
        <v>Association Loi 1901 non Reconnue d'Utilité Publique</v>
      </c>
      <c r="Q3083" t="str">
        <f t="shared" si="432"/>
        <v>36</v>
      </c>
      <c r="R3083" t="str">
        <f t="shared" si="433"/>
        <v>Tarifs conventionnels assurance maladie</v>
      </c>
      <c r="U3083" t="str">
        <f>"750809956"</f>
        <v>750809956</v>
      </c>
    </row>
    <row r="3084" spans="1:21" x14ac:dyDescent="0.3">
      <c r="A3084" t="str">
        <f>"750011108"</f>
        <v>750011108</v>
      </c>
      <c r="B3084" t="str">
        <f>"433 909 413 00034"</f>
        <v>433 909 413 00034</v>
      </c>
      <c r="D3084" t="str">
        <f>"CDS MEDICAL PEUPLIERS"</f>
        <v>CDS MEDICAL PEUPLIERS</v>
      </c>
      <c r="F3084" t="str">
        <f>"8 PLACE DE L ABBE G HENOCQUE"</f>
        <v>8 PLACE DE L ABBE G HENOCQUE</v>
      </c>
      <c r="H3084" t="str">
        <f>"75013"</f>
        <v>75013</v>
      </c>
      <c r="I3084" t="str">
        <f t="shared" si="436"/>
        <v>PARIS</v>
      </c>
      <c r="J3084" t="str">
        <f>"01 44 16 52 00 "</f>
        <v xml:space="preserve">01 44 16 52 00 </v>
      </c>
      <c r="K3084" t="str">
        <f>"01 44 16 56 11"</f>
        <v>01 44 16 56 11</v>
      </c>
      <c r="L3084" s="1">
        <v>22433</v>
      </c>
      <c r="M3084" t="str">
        <f t="shared" si="434"/>
        <v>124</v>
      </c>
      <c r="N3084" t="str">
        <f t="shared" si="435"/>
        <v>Centre de Santé</v>
      </c>
      <c r="O3084" t="str">
        <f>"95"</f>
        <v>95</v>
      </c>
      <c r="P3084" t="str">
        <f>"Société par Actions Simplifiée (S.A.S.)"</f>
        <v>Société par Actions Simplifiée (S.A.S.)</v>
      </c>
      <c r="Q3084" t="str">
        <f t="shared" si="432"/>
        <v>36</v>
      </c>
      <c r="R3084" t="str">
        <f t="shared" si="433"/>
        <v>Tarifs conventionnels assurance maladie</v>
      </c>
      <c r="U3084" t="str">
        <f>"750026569"</f>
        <v>750026569</v>
      </c>
    </row>
    <row r="3085" spans="1:21" x14ac:dyDescent="0.3">
      <c r="A3085" t="str">
        <f>"750011157"</f>
        <v>750011157</v>
      </c>
      <c r="B3085" t="str">
        <f>"217 500 016 17500"</f>
        <v>217 500 016 17500</v>
      </c>
      <c r="D3085" t="str">
        <f>"CDS DENTAIRE GEORGES EASTMAN"</f>
        <v>CDS DENTAIRE GEORGES EASTMAN</v>
      </c>
      <c r="F3085" t="str">
        <f>"11 RUE GEORGES EASTMAN"</f>
        <v>11 RUE GEORGES EASTMAN</v>
      </c>
      <c r="H3085" t="str">
        <f>"75013"</f>
        <v>75013</v>
      </c>
      <c r="I3085" t="str">
        <f t="shared" si="436"/>
        <v>PARIS</v>
      </c>
      <c r="J3085" t="str">
        <f>"01 44 97 88 88 "</f>
        <v xml:space="preserve">01 44 97 88 88 </v>
      </c>
      <c r="K3085" t="str">
        <f>"01 43 47 74 06"</f>
        <v>01 43 47 74 06</v>
      </c>
      <c r="L3085" s="1">
        <v>22433</v>
      </c>
      <c r="M3085" t="str">
        <f t="shared" si="434"/>
        <v>124</v>
      </c>
      <c r="N3085" t="str">
        <f t="shared" si="435"/>
        <v>Centre de Santé</v>
      </c>
      <c r="O3085" t="str">
        <f>"02"</f>
        <v>02</v>
      </c>
      <c r="P3085" t="str">
        <f>"Département"</f>
        <v>Département</v>
      </c>
      <c r="Q3085" t="str">
        <f t="shared" si="432"/>
        <v>36</v>
      </c>
      <c r="R3085" t="str">
        <f t="shared" si="433"/>
        <v>Tarifs conventionnels assurance maladie</v>
      </c>
      <c r="U3085" t="str">
        <f>"750002008"</f>
        <v>750002008</v>
      </c>
    </row>
    <row r="3086" spans="1:21" x14ac:dyDescent="0.3">
      <c r="A3086" t="str">
        <f>"750011165"</f>
        <v>750011165</v>
      </c>
      <c r="B3086" t="str">
        <f>"444 699 383 00014"</f>
        <v>444 699 383 00014</v>
      </c>
      <c r="D3086" t="str">
        <f>"CDS DENTAIRE MUTUALISTE PARIS 13"</f>
        <v>CDS DENTAIRE MUTUALISTE PARIS 13</v>
      </c>
      <c r="E3086" t="str">
        <f>"14-16"</f>
        <v>14-16</v>
      </c>
      <c r="F3086" t="str">
        <f>"14 RUE DES PEUPLIERS"</f>
        <v>14 RUE DES PEUPLIERS</v>
      </c>
      <c r="H3086" t="str">
        <f>"75013"</f>
        <v>75013</v>
      </c>
      <c r="I3086" t="str">
        <f t="shared" si="436"/>
        <v>PARIS</v>
      </c>
      <c r="J3086" t="str">
        <f>"01 40 78 10 65 "</f>
        <v xml:space="preserve">01 40 78 10 65 </v>
      </c>
      <c r="K3086" t="str">
        <f>"01 40 78 10 66"</f>
        <v>01 40 78 10 66</v>
      </c>
      <c r="L3086" s="1">
        <v>22433</v>
      </c>
      <c r="M3086" t="str">
        <f t="shared" si="434"/>
        <v>124</v>
      </c>
      <c r="N3086" t="str">
        <f t="shared" si="435"/>
        <v>Centre de Santé</v>
      </c>
      <c r="O3086" t="str">
        <f>"47"</f>
        <v>47</v>
      </c>
      <c r="P3086" t="str">
        <f>"Société Mutualiste"</f>
        <v>Société Mutualiste</v>
      </c>
      <c r="Q3086" t="str">
        <f t="shared" si="432"/>
        <v>36</v>
      </c>
      <c r="R3086" t="str">
        <f t="shared" si="433"/>
        <v>Tarifs conventionnels assurance maladie</v>
      </c>
      <c r="U3086" t="str">
        <f>"750011918"</f>
        <v>750011918</v>
      </c>
    </row>
    <row r="3087" spans="1:21" x14ac:dyDescent="0.3">
      <c r="A3087" t="str">
        <f>"750011215"</f>
        <v>750011215</v>
      </c>
      <c r="B3087" t="str">
        <f>"751 068 545 00092"</f>
        <v>751 068 545 00092</v>
      </c>
      <c r="D3087" t="str">
        <f>"CDS POLYVALENT MOULINET"</f>
        <v>CDS POLYVALENT MOULINET</v>
      </c>
      <c r="F3087" t="str">
        <f>"21 RUE DU MOULINET"</f>
        <v>21 RUE DU MOULINET</v>
      </c>
      <c r="H3087" t="str">
        <f>"75013"</f>
        <v>75013</v>
      </c>
      <c r="I3087" t="str">
        <f t="shared" si="436"/>
        <v>PARIS</v>
      </c>
      <c r="J3087" t="str">
        <f>"01 40 46 13 80 "</f>
        <v xml:space="preserve">01 40 46 13 80 </v>
      </c>
      <c r="K3087" t="str">
        <f>"01 40 46 13 38"</f>
        <v>01 40 46 13 38</v>
      </c>
      <c r="L3087" s="1">
        <v>22433</v>
      </c>
      <c r="M3087" t="str">
        <f t="shared" si="434"/>
        <v>124</v>
      </c>
      <c r="N3087" t="str">
        <f t="shared" si="435"/>
        <v>Centre de Santé</v>
      </c>
      <c r="O3087" t="str">
        <f>"60"</f>
        <v>60</v>
      </c>
      <c r="P3087" t="str">
        <f>"Association Loi 1901 non Reconnue d'Utilité Publique"</f>
        <v>Association Loi 1901 non Reconnue d'Utilité Publique</v>
      </c>
      <c r="Q3087" t="str">
        <f t="shared" si="432"/>
        <v>36</v>
      </c>
      <c r="R3087" t="str">
        <f t="shared" si="433"/>
        <v>Tarifs conventionnels assurance maladie</v>
      </c>
      <c r="U3087" t="str">
        <f>"750050767"</f>
        <v>750050767</v>
      </c>
    </row>
    <row r="3088" spans="1:21" x14ac:dyDescent="0.3">
      <c r="A3088" t="str">
        <f>"750011363"</f>
        <v>750011363</v>
      </c>
      <c r="B3088" t="str">
        <f>"784 570 632 00017"</f>
        <v>784 570 632 00017</v>
      </c>
      <c r="D3088" t="str">
        <f>"CDS MEDICAL ALFRED FOURNIER"</f>
        <v>CDS MEDICAL ALFRED FOURNIER</v>
      </c>
      <c r="F3088" t="str">
        <f>"25 BOULEVARD SAINT JACQUES"</f>
        <v>25 BOULEVARD SAINT JACQUES</v>
      </c>
      <c r="H3088" t="str">
        <f>"75014"</f>
        <v>75014</v>
      </c>
      <c r="I3088" t="str">
        <f t="shared" si="436"/>
        <v>PARIS</v>
      </c>
      <c r="J3088" t="str">
        <f>"01 40 78 26 00 "</f>
        <v xml:space="preserve">01 40 78 26 00 </v>
      </c>
      <c r="K3088" t="str">
        <f>"01 45 89 74 05"</f>
        <v>01 45 89 74 05</v>
      </c>
      <c r="L3088" s="1">
        <v>22433</v>
      </c>
      <c r="M3088" t="str">
        <f t="shared" si="434"/>
        <v>124</v>
      </c>
      <c r="N3088" t="str">
        <f t="shared" si="435"/>
        <v>Centre de Santé</v>
      </c>
      <c r="O3088" t="str">
        <f>"61"</f>
        <v>61</v>
      </c>
      <c r="P3088" t="str">
        <f>"Association Loi 1901 Reconnue d'Utilité Publique"</f>
        <v>Association Loi 1901 Reconnue d'Utilité Publique</v>
      </c>
      <c r="Q3088" t="str">
        <f t="shared" si="432"/>
        <v>36</v>
      </c>
      <c r="R3088" t="str">
        <f t="shared" si="433"/>
        <v>Tarifs conventionnels assurance maladie</v>
      </c>
      <c r="U3088" t="str">
        <f>"750809931"</f>
        <v>750809931</v>
      </c>
    </row>
    <row r="3089" spans="1:21" x14ac:dyDescent="0.3">
      <c r="A3089" t="str">
        <f>"750011702"</f>
        <v>750011702</v>
      </c>
      <c r="B3089" t="str">
        <f>"784 809 642 00043"</f>
        <v>784 809 642 00043</v>
      </c>
      <c r="D3089" t="str">
        <f>"CDS ALICE GROSPERRIN"</f>
        <v>CDS ALICE GROSPERRIN</v>
      </c>
      <c r="F3089" t="str">
        <f>"10 RUE LEROUX"</f>
        <v>10 RUE LEROUX</v>
      </c>
      <c r="H3089" t="str">
        <f>"75116"</f>
        <v>75116</v>
      </c>
      <c r="I3089" t="str">
        <f t="shared" si="436"/>
        <v>PARIS</v>
      </c>
      <c r="J3089" t="str">
        <f>"01 45 01 50 92 "</f>
        <v xml:space="preserve">01 45 01 50 92 </v>
      </c>
      <c r="K3089" t="str">
        <f>"01 45 01 23 14"</f>
        <v>01 45 01 23 14</v>
      </c>
      <c r="L3089" s="1">
        <v>22433</v>
      </c>
      <c r="M3089" t="str">
        <f t="shared" si="434"/>
        <v>124</v>
      </c>
      <c r="N3089" t="str">
        <f t="shared" si="435"/>
        <v>Centre de Santé</v>
      </c>
      <c r="O3089" t="str">
        <f>"47"</f>
        <v>47</v>
      </c>
      <c r="P3089" t="str">
        <f>"Société Mutualiste"</f>
        <v>Société Mutualiste</v>
      </c>
      <c r="Q3089" t="str">
        <f t="shared" si="432"/>
        <v>36</v>
      </c>
      <c r="R3089" t="str">
        <f t="shared" si="433"/>
        <v>Tarifs conventionnels assurance maladie</v>
      </c>
      <c r="U3089" t="str">
        <f>"750814865"</f>
        <v>750814865</v>
      </c>
    </row>
    <row r="3090" spans="1:21" x14ac:dyDescent="0.3">
      <c r="A3090" t="str">
        <f>"750011900"</f>
        <v>750011900</v>
      </c>
      <c r="B3090" t="str">
        <f>"217 500 016 15538"</f>
        <v>217 500 016 15538</v>
      </c>
      <c r="D3090" t="str">
        <f>"CDS MARCADET DASES"</f>
        <v>CDS MARCADET DASES</v>
      </c>
      <c r="F3090" t="str">
        <f>"22 RUE MARCADET"</f>
        <v>22 RUE MARCADET</v>
      </c>
      <c r="H3090" t="str">
        <f>"75018"</f>
        <v>75018</v>
      </c>
      <c r="I3090" t="str">
        <f t="shared" si="436"/>
        <v>PARIS</v>
      </c>
      <c r="J3090" t="str">
        <f>"01 46 06 78 24 "</f>
        <v xml:space="preserve">01 46 06 78 24 </v>
      </c>
      <c r="K3090" t="str">
        <f>"01 46 06 51 47"</f>
        <v>01 46 06 51 47</v>
      </c>
      <c r="L3090" s="1">
        <v>22433</v>
      </c>
      <c r="M3090" t="str">
        <f t="shared" si="434"/>
        <v>124</v>
      </c>
      <c r="N3090" t="str">
        <f t="shared" si="435"/>
        <v>Centre de Santé</v>
      </c>
      <c r="O3090" t="str">
        <f>"06"</f>
        <v>06</v>
      </c>
      <c r="P3090" t="str">
        <f>"Autre Collectivité Territoriale"</f>
        <v>Autre Collectivité Territoriale</v>
      </c>
      <c r="Q3090" t="str">
        <f t="shared" si="432"/>
        <v>36</v>
      </c>
      <c r="R3090" t="str">
        <f t="shared" si="433"/>
        <v>Tarifs conventionnels assurance maladie</v>
      </c>
      <c r="U3090" t="str">
        <f>"750805483"</f>
        <v>750805483</v>
      </c>
    </row>
    <row r="3091" spans="1:21" x14ac:dyDescent="0.3">
      <c r="A3091" t="str">
        <f>"750012148"</f>
        <v>750012148</v>
      </c>
      <c r="B3091" t="str">
        <f>"380 739 508 00014"</f>
        <v>380 739 508 00014</v>
      </c>
      <c r="D3091" t="str">
        <f>"CDS DE BELLEVILLE"</f>
        <v>CDS DE BELLEVILLE</v>
      </c>
      <c r="F3091" t="str">
        <f>"27 RUE LEVERT"</f>
        <v>27 RUE LEVERT</v>
      </c>
      <c r="H3091" t="str">
        <f>"75020"</f>
        <v>75020</v>
      </c>
      <c r="I3091" t="str">
        <f t="shared" si="436"/>
        <v>PARIS</v>
      </c>
      <c r="J3091" t="str">
        <f>"01 40 33 80 40 "</f>
        <v xml:space="preserve">01 40 33 80 40 </v>
      </c>
      <c r="K3091" t="str">
        <f>"01 40 33 80 46"</f>
        <v>01 40 33 80 46</v>
      </c>
      <c r="L3091" s="1">
        <v>22433</v>
      </c>
      <c r="M3091" t="str">
        <f t="shared" si="434"/>
        <v>124</v>
      </c>
      <c r="N3091" t="str">
        <f t="shared" si="435"/>
        <v>Centre de Santé</v>
      </c>
      <c r="O3091" t="str">
        <f>"61"</f>
        <v>61</v>
      </c>
      <c r="P3091" t="str">
        <f>"Association Loi 1901 Reconnue d'Utilité Publique"</f>
        <v>Association Loi 1901 Reconnue d'Utilité Publique</v>
      </c>
      <c r="Q3091" t="str">
        <f t="shared" si="432"/>
        <v>36</v>
      </c>
      <c r="R3091" t="str">
        <f t="shared" si="433"/>
        <v>Tarifs conventionnels assurance maladie</v>
      </c>
      <c r="U3091" t="str">
        <f>"750818726"</f>
        <v>750818726</v>
      </c>
    </row>
    <row r="3092" spans="1:21" x14ac:dyDescent="0.3">
      <c r="A3092" t="str">
        <f>"930010087"</f>
        <v>930010087</v>
      </c>
      <c r="B3092" t="str">
        <f>"219 300 076 00383"</f>
        <v>219 300 076 00383</v>
      </c>
      <c r="D3092" t="str">
        <f>"CDS MEDICAL ET MUNICIPAL"</f>
        <v>CDS MEDICAL ET MUNICIPAL</v>
      </c>
      <c r="F3092" t="str">
        <f>"66 AVENUE DE LA REPUBLIQUE"</f>
        <v>66 AVENUE DE LA REPUBLIQUE</v>
      </c>
      <c r="H3092" t="str">
        <f>"93150"</f>
        <v>93150</v>
      </c>
      <c r="I3092" t="str">
        <f>"LE BLANC MESNIL"</f>
        <v>LE BLANC MESNIL</v>
      </c>
      <c r="J3092" t="str">
        <f>"01 45 91 70 03 "</f>
        <v xml:space="preserve">01 45 91 70 03 </v>
      </c>
      <c r="K3092" t="str">
        <f>"01 45 91 70 18"</f>
        <v>01 45 91 70 18</v>
      </c>
      <c r="L3092" s="1">
        <v>22433</v>
      </c>
      <c r="M3092" t="str">
        <f t="shared" si="434"/>
        <v>124</v>
      </c>
      <c r="N3092" t="str">
        <f t="shared" si="435"/>
        <v>Centre de Santé</v>
      </c>
      <c r="O3092" t="str">
        <f t="shared" ref="O3092:O3107" si="437">"03"</f>
        <v>03</v>
      </c>
      <c r="P3092" t="str">
        <f t="shared" ref="P3092:P3107" si="438">"Commune"</f>
        <v>Commune</v>
      </c>
      <c r="Q3092" t="str">
        <f t="shared" si="432"/>
        <v>36</v>
      </c>
      <c r="R3092" t="str">
        <f t="shared" si="433"/>
        <v>Tarifs conventionnels assurance maladie</v>
      </c>
      <c r="U3092" t="str">
        <f>"930812896"</f>
        <v>930812896</v>
      </c>
    </row>
    <row r="3093" spans="1:21" x14ac:dyDescent="0.3">
      <c r="A3093" t="str">
        <f>"930010236"</f>
        <v>930010236</v>
      </c>
      <c r="B3093" t="str">
        <f>"219 300 290 00364"</f>
        <v>219 300 290 00364</v>
      </c>
      <c r="D3093" t="str">
        <f>"CDS MUNICIPAL HENRI WALLON"</f>
        <v>CDS MUNICIPAL HENRI WALLON</v>
      </c>
      <c r="F3093" t="str">
        <f>"2 RUE DE LA REPUBLIQUE"</f>
        <v>2 RUE DE LA REPUBLIQUE</v>
      </c>
      <c r="H3093" t="str">
        <f>"93700"</f>
        <v>93700</v>
      </c>
      <c r="I3093" t="str">
        <f>"DRANCY"</f>
        <v>DRANCY</v>
      </c>
      <c r="J3093" t="str">
        <f>"01 48 96 45 50 "</f>
        <v xml:space="preserve">01 48 96 45 50 </v>
      </c>
      <c r="K3093" t="str">
        <f>"01 48 96 45 51"</f>
        <v>01 48 96 45 51</v>
      </c>
      <c r="L3093" s="1">
        <v>22433</v>
      </c>
      <c r="M3093" t="str">
        <f t="shared" si="434"/>
        <v>124</v>
      </c>
      <c r="N3093" t="str">
        <f t="shared" si="435"/>
        <v>Centre de Santé</v>
      </c>
      <c r="O3093" t="str">
        <f t="shared" si="437"/>
        <v>03</v>
      </c>
      <c r="P3093" t="str">
        <f t="shared" si="438"/>
        <v>Commune</v>
      </c>
      <c r="Q3093" t="str">
        <f t="shared" si="432"/>
        <v>36</v>
      </c>
      <c r="R3093" t="str">
        <f t="shared" si="433"/>
        <v>Tarifs conventionnels assurance maladie</v>
      </c>
      <c r="U3093" t="str">
        <f>"930812961"</f>
        <v>930812961</v>
      </c>
    </row>
    <row r="3094" spans="1:21" x14ac:dyDescent="0.3">
      <c r="A3094" t="str">
        <f>"930010343"</f>
        <v>930010343</v>
      </c>
      <c r="B3094" t="str">
        <f>"219 300 480 00635"</f>
        <v>219 300 480 00635</v>
      </c>
      <c r="D3094" t="str">
        <f>"CDS MEDICAL MUNICIPAL MONTREUIL"</f>
        <v>CDS MEDICAL MUNICIPAL MONTREUIL</v>
      </c>
      <c r="F3094" t="str">
        <f>"2 RUE GIRARD"</f>
        <v>2 RUE GIRARD</v>
      </c>
      <c r="H3094" t="str">
        <f>"93100"</f>
        <v>93100</v>
      </c>
      <c r="I3094" t="str">
        <f>"MONTREUIL"</f>
        <v>MONTREUIL</v>
      </c>
      <c r="J3094" t="str">
        <f>"01 71 89 25 80 "</f>
        <v xml:space="preserve">01 71 89 25 80 </v>
      </c>
      <c r="L3094" s="1">
        <v>22433</v>
      </c>
      <c r="M3094" t="str">
        <f t="shared" si="434"/>
        <v>124</v>
      </c>
      <c r="N3094" t="str">
        <f t="shared" si="435"/>
        <v>Centre de Santé</v>
      </c>
      <c r="O3094" t="str">
        <f t="shared" si="437"/>
        <v>03</v>
      </c>
      <c r="P3094" t="str">
        <f t="shared" si="438"/>
        <v>Commune</v>
      </c>
      <c r="Q3094" t="str">
        <f t="shared" si="432"/>
        <v>36</v>
      </c>
      <c r="R3094" t="str">
        <f t="shared" si="433"/>
        <v>Tarifs conventionnels assurance maladie</v>
      </c>
      <c r="U3094" t="str">
        <f>"930813050"</f>
        <v>930813050</v>
      </c>
    </row>
    <row r="3095" spans="1:21" x14ac:dyDescent="0.3">
      <c r="A3095" t="str">
        <f>"930010368"</f>
        <v>930010368</v>
      </c>
      <c r="B3095" t="str">
        <f>"219 300 480 00650"</f>
        <v>219 300 480 00650</v>
      </c>
      <c r="D3095" t="str">
        <f>"CDS DANIEL RENOULT"</f>
        <v>CDS DANIEL RENOULT</v>
      </c>
      <c r="F3095" t="str">
        <f>"31 BOULEVARD THEOPHILE SUEUR"</f>
        <v>31 BOULEVARD THEOPHILE SUEUR</v>
      </c>
      <c r="H3095" t="str">
        <f>"93100"</f>
        <v>93100</v>
      </c>
      <c r="I3095" t="str">
        <f>"MONTREUIL"</f>
        <v>MONTREUIL</v>
      </c>
      <c r="J3095" t="str">
        <f>"01 48 70 60 79 "</f>
        <v xml:space="preserve">01 48 70 60 79 </v>
      </c>
      <c r="K3095" t="str">
        <f>"01 45 28 23 36"</f>
        <v>01 45 28 23 36</v>
      </c>
      <c r="L3095" s="1">
        <v>22433</v>
      </c>
      <c r="M3095" t="str">
        <f t="shared" si="434"/>
        <v>124</v>
      </c>
      <c r="N3095" t="str">
        <f t="shared" si="435"/>
        <v>Centre de Santé</v>
      </c>
      <c r="O3095" t="str">
        <f t="shared" si="437"/>
        <v>03</v>
      </c>
      <c r="P3095" t="str">
        <f t="shared" si="438"/>
        <v>Commune</v>
      </c>
      <c r="Q3095" t="str">
        <f t="shared" si="432"/>
        <v>36</v>
      </c>
      <c r="R3095" t="str">
        <f t="shared" si="433"/>
        <v>Tarifs conventionnels assurance maladie</v>
      </c>
      <c r="U3095" t="str">
        <f>"930813050"</f>
        <v>930813050</v>
      </c>
    </row>
    <row r="3096" spans="1:21" x14ac:dyDescent="0.3">
      <c r="A3096" t="str">
        <f>"930010392"</f>
        <v>930010392</v>
      </c>
      <c r="B3096" t="str">
        <f>"219 300 498 00165"</f>
        <v>219 300 498 00165</v>
      </c>
      <c r="D3096" t="str">
        <f>"CDS MUNICIPAL NEUILLY PLAISANCE"</f>
        <v>CDS MUNICIPAL NEUILLY PLAISANCE</v>
      </c>
      <c r="F3096" t="str">
        <f>"33 RUE DU GENERAL LECLERC"</f>
        <v>33 RUE DU GENERAL LECLERC</v>
      </c>
      <c r="H3096" t="str">
        <f>"93360"</f>
        <v>93360</v>
      </c>
      <c r="I3096" t="str">
        <f>"NEUILLY PLAISANCE"</f>
        <v>NEUILLY PLAISANCE</v>
      </c>
      <c r="J3096" t="str">
        <f>"01 43 00 12 74 "</f>
        <v xml:space="preserve">01 43 00 12 74 </v>
      </c>
      <c r="L3096" s="1">
        <v>22433</v>
      </c>
      <c r="M3096" t="str">
        <f t="shared" si="434"/>
        <v>124</v>
      </c>
      <c r="N3096" t="str">
        <f t="shared" si="435"/>
        <v>Centre de Santé</v>
      </c>
      <c r="O3096" t="str">
        <f t="shared" si="437"/>
        <v>03</v>
      </c>
      <c r="P3096" t="str">
        <f t="shared" si="438"/>
        <v>Commune</v>
      </c>
      <c r="Q3096" t="str">
        <f t="shared" si="432"/>
        <v>36</v>
      </c>
      <c r="R3096" t="str">
        <f t="shared" si="433"/>
        <v>Tarifs conventionnels assurance maladie</v>
      </c>
      <c r="U3096" t="str">
        <f>"930813225"</f>
        <v>930813225</v>
      </c>
    </row>
    <row r="3097" spans="1:21" x14ac:dyDescent="0.3">
      <c r="A3097" t="str">
        <f>"930010442"</f>
        <v>930010442</v>
      </c>
      <c r="B3097" t="str">
        <f>"219 300 555 00303"</f>
        <v>219 300 555 00303</v>
      </c>
      <c r="D3097" t="str">
        <f>"CDS MUNICIPAL DE SANTE PANTIN"</f>
        <v>CDS MUNICIPAL DE SANTE PANTIN</v>
      </c>
      <c r="E3097" t="str">
        <f>"10-12"</f>
        <v>10-12</v>
      </c>
      <c r="F3097" t="str">
        <f>"10 RUE EUGENE MARIE LOUISE CORNET"</f>
        <v>10 RUE EUGENE MARIE LOUISE CORNET</v>
      </c>
      <c r="H3097" t="str">
        <f>"93500"</f>
        <v>93500</v>
      </c>
      <c r="I3097" t="str">
        <f>"PANTIN"</f>
        <v>PANTIN</v>
      </c>
      <c r="J3097" t="str">
        <f>"01 49 15 45 85 "</f>
        <v xml:space="preserve">01 49 15 45 85 </v>
      </c>
      <c r="K3097" t="str">
        <f>"01 49 15 48 27"</f>
        <v>01 49 15 48 27</v>
      </c>
      <c r="L3097" s="1">
        <v>22433</v>
      </c>
      <c r="M3097" t="str">
        <f t="shared" si="434"/>
        <v>124</v>
      </c>
      <c r="N3097" t="str">
        <f t="shared" si="435"/>
        <v>Centre de Santé</v>
      </c>
      <c r="O3097" t="str">
        <f t="shared" si="437"/>
        <v>03</v>
      </c>
      <c r="P3097" t="str">
        <f t="shared" si="438"/>
        <v>Commune</v>
      </c>
      <c r="Q3097" t="str">
        <f t="shared" si="432"/>
        <v>36</v>
      </c>
      <c r="R3097" t="str">
        <f t="shared" si="433"/>
        <v>Tarifs conventionnels assurance maladie</v>
      </c>
      <c r="U3097" t="str">
        <f>"930813092"</f>
        <v>930813092</v>
      </c>
    </row>
    <row r="3098" spans="1:21" x14ac:dyDescent="0.3">
      <c r="A3098" t="str">
        <f>"930010459"</f>
        <v>930010459</v>
      </c>
      <c r="B3098" t="str">
        <f>"219 300 555 00311"</f>
        <v>219 300 555 00311</v>
      </c>
      <c r="D3098" t="str">
        <f>"CDS MUNICIPAL PANTIN"</f>
        <v>CDS MUNICIPAL PANTIN</v>
      </c>
      <c r="F3098" t="str">
        <f>"28 RUE SAINTE MARGUERITE"</f>
        <v>28 RUE SAINTE MARGUERITE</v>
      </c>
      <c r="H3098" t="str">
        <f>"93500"</f>
        <v>93500</v>
      </c>
      <c r="I3098" t="str">
        <f>"PANTIN"</f>
        <v>PANTIN</v>
      </c>
      <c r="J3098" t="str">
        <f>"01 49 15 45 09 "</f>
        <v xml:space="preserve">01 49 15 45 09 </v>
      </c>
      <c r="K3098" t="str">
        <f>"01 49 15 73 26"</f>
        <v>01 49 15 73 26</v>
      </c>
      <c r="L3098" s="1">
        <v>22433</v>
      </c>
      <c r="M3098" t="str">
        <f t="shared" si="434"/>
        <v>124</v>
      </c>
      <c r="N3098" t="str">
        <f t="shared" si="435"/>
        <v>Centre de Santé</v>
      </c>
      <c r="O3098" t="str">
        <f t="shared" si="437"/>
        <v>03</v>
      </c>
      <c r="P3098" t="str">
        <f t="shared" si="438"/>
        <v>Commune</v>
      </c>
      <c r="Q3098" t="str">
        <f t="shared" si="432"/>
        <v>36</v>
      </c>
      <c r="R3098" t="str">
        <f t="shared" si="433"/>
        <v>Tarifs conventionnels assurance maladie</v>
      </c>
      <c r="U3098" t="str">
        <f>"930813092"</f>
        <v>930813092</v>
      </c>
    </row>
    <row r="3099" spans="1:21" x14ac:dyDescent="0.3">
      <c r="A3099" t="str">
        <f>"930010582"</f>
        <v>930010582</v>
      </c>
      <c r="B3099" t="str">
        <f>"219 300 662 00737"</f>
        <v>219 300 662 00737</v>
      </c>
      <c r="D3099" t="str">
        <f>"CDS MUNICIPAL HENRI BARBUSSE"</f>
        <v>CDS MUNICIPAL HENRI BARBUSSE</v>
      </c>
      <c r="F3099" t="str">
        <f>"14 RUE HENRI BARBUSSE"</f>
        <v>14 RUE HENRI BARBUSSE</v>
      </c>
      <c r="H3099" t="str">
        <f>"93200"</f>
        <v>93200</v>
      </c>
      <c r="I3099" t="str">
        <f>"ST DENIS"</f>
        <v>ST DENIS</v>
      </c>
      <c r="J3099" t="str">
        <f>"01 49 71 11 00 "</f>
        <v xml:space="preserve">01 49 71 11 00 </v>
      </c>
      <c r="K3099" t="str">
        <f>"01 49 71 11 02"</f>
        <v>01 49 71 11 02</v>
      </c>
      <c r="L3099" s="1">
        <v>22433</v>
      </c>
      <c r="M3099" t="str">
        <f t="shared" si="434"/>
        <v>124</v>
      </c>
      <c r="N3099" t="str">
        <f t="shared" si="435"/>
        <v>Centre de Santé</v>
      </c>
      <c r="O3099" t="str">
        <f t="shared" si="437"/>
        <v>03</v>
      </c>
      <c r="P3099" t="str">
        <f t="shared" si="438"/>
        <v>Commune</v>
      </c>
      <c r="Q3099" t="str">
        <f t="shared" si="432"/>
        <v>36</v>
      </c>
      <c r="R3099" t="str">
        <f t="shared" si="433"/>
        <v>Tarifs conventionnels assurance maladie</v>
      </c>
      <c r="U3099" t="str">
        <f>"930813159"</f>
        <v>930813159</v>
      </c>
    </row>
    <row r="3100" spans="1:21" x14ac:dyDescent="0.3">
      <c r="A3100" t="str">
        <f>"930010616"</f>
        <v>930010616</v>
      </c>
      <c r="B3100" t="str">
        <f>"219 300 704 00224"</f>
        <v>219 300 704 00224</v>
      </c>
      <c r="D3100" t="str">
        <f>"CDS MUNICIPAL DE SANTE BAUER"</f>
        <v>CDS MUNICIPAL DE SANTE BAUER</v>
      </c>
      <c r="F3100" t="str">
        <f>"147 RUE DU DOCTEUR BAUER"</f>
        <v>147 RUE DU DOCTEUR BAUER</v>
      </c>
      <c r="H3100" t="str">
        <f>"93400"</f>
        <v>93400</v>
      </c>
      <c r="I3100" t="str">
        <f>"ST OUEN SUR SEINE"</f>
        <v>ST OUEN SUR SEINE</v>
      </c>
      <c r="J3100" t="str">
        <f>"01 49 45 69 53 "</f>
        <v xml:space="preserve">01 49 45 69 53 </v>
      </c>
      <c r="K3100" t="str">
        <f>"01 40 12 59 52"</f>
        <v>01 40 12 59 52</v>
      </c>
      <c r="L3100" s="1">
        <v>22433</v>
      </c>
      <c r="M3100" t="str">
        <f t="shared" si="434"/>
        <v>124</v>
      </c>
      <c r="N3100" t="str">
        <f t="shared" si="435"/>
        <v>Centre de Santé</v>
      </c>
      <c r="O3100" t="str">
        <f t="shared" si="437"/>
        <v>03</v>
      </c>
      <c r="P3100" t="str">
        <f t="shared" si="438"/>
        <v>Commune</v>
      </c>
      <c r="Q3100" t="str">
        <f t="shared" si="432"/>
        <v>36</v>
      </c>
      <c r="R3100" t="str">
        <f t="shared" si="433"/>
        <v>Tarifs conventionnels assurance maladie</v>
      </c>
      <c r="U3100" t="str">
        <f>"930813167"</f>
        <v>930813167</v>
      </c>
    </row>
    <row r="3101" spans="1:21" x14ac:dyDescent="0.3">
      <c r="A3101" t="str">
        <f>"930010673"</f>
        <v>930010673</v>
      </c>
      <c r="B3101" t="str">
        <f>"219 300 720 00329"</f>
        <v>219 300 720 00329</v>
      </c>
      <c r="D3101" t="str">
        <f>"CDS MUNICIPAL COLETTE COULON"</f>
        <v>CDS MUNICIPAL COLETTE COULON</v>
      </c>
      <c r="E3101" t="str">
        <f>"27-33"</f>
        <v>27-33</v>
      </c>
      <c r="F3101" t="str">
        <f>"27 BOULEVARD MAXIME GORKI"</f>
        <v>27 BOULEVARD MAXIME GORKI</v>
      </c>
      <c r="G3101" t="str">
        <f>"BP 73"</f>
        <v>BP 73</v>
      </c>
      <c r="H3101" t="str">
        <f>"93240"</f>
        <v>93240</v>
      </c>
      <c r="I3101" t="str">
        <f>"STAINS"</f>
        <v>STAINS</v>
      </c>
      <c r="J3101" t="str">
        <f>"01 49 71 81 98 "</f>
        <v xml:space="preserve">01 49 71 81 98 </v>
      </c>
      <c r="K3101" t="str">
        <f>"01 48 26 00 72"</f>
        <v>01 48 26 00 72</v>
      </c>
      <c r="L3101" s="1">
        <v>22433</v>
      </c>
      <c r="M3101" t="str">
        <f t="shared" si="434"/>
        <v>124</v>
      </c>
      <c r="N3101" t="str">
        <f t="shared" si="435"/>
        <v>Centre de Santé</v>
      </c>
      <c r="O3101" t="str">
        <f t="shared" si="437"/>
        <v>03</v>
      </c>
      <c r="P3101" t="str">
        <f t="shared" si="438"/>
        <v>Commune</v>
      </c>
      <c r="Q3101" t="str">
        <f t="shared" si="432"/>
        <v>36</v>
      </c>
      <c r="R3101" t="str">
        <f t="shared" si="433"/>
        <v>Tarifs conventionnels assurance maladie</v>
      </c>
      <c r="U3101" t="str">
        <f>"930813183"</f>
        <v>930813183</v>
      </c>
    </row>
    <row r="3102" spans="1:21" x14ac:dyDescent="0.3">
      <c r="A3102" t="str">
        <f>"930020193"</f>
        <v>930020193</v>
      </c>
      <c r="B3102" t="str">
        <f>"219 300 290 00398"</f>
        <v>219 300 290 00398</v>
      </c>
      <c r="D3102" t="str">
        <f>"CDS DENTAIRE MUNICIPAL H WALLON"</f>
        <v>CDS DENTAIRE MUNICIPAL H WALLON</v>
      </c>
      <c r="E3102" t="str">
        <f>"BAT D   ESCALIER K"</f>
        <v>BAT D   ESCALIER K</v>
      </c>
      <c r="F3102" t="str">
        <f>"25 BOULEVARD PAUL VAILLANT COUTURIER"</f>
        <v>25 BOULEVARD PAUL VAILLANT COUTURIER</v>
      </c>
      <c r="H3102" t="str">
        <f>"93700"</f>
        <v>93700</v>
      </c>
      <c r="I3102" t="str">
        <f>"DRANCY"</f>
        <v>DRANCY</v>
      </c>
      <c r="J3102" t="str">
        <f>"01 48 32 20 55 "</f>
        <v xml:space="preserve">01 48 32 20 55 </v>
      </c>
      <c r="K3102" t="str">
        <f>"01 48 96 78 35"</f>
        <v>01 48 96 78 35</v>
      </c>
      <c r="L3102" s="1">
        <v>22433</v>
      </c>
      <c r="M3102" t="str">
        <f t="shared" si="434"/>
        <v>124</v>
      </c>
      <c r="N3102" t="str">
        <f t="shared" si="435"/>
        <v>Centre de Santé</v>
      </c>
      <c r="O3102" t="str">
        <f t="shared" si="437"/>
        <v>03</v>
      </c>
      <c r="P3102" t="str">
        <f t="shared" si="438"/>
        <v>Commune</v>
      </c>
      <c r="Q3102" t="str">
        <f t="shared" si="432"/>
        <v>36</v>
      </c>
      <c r="R3102" t="str">
        <f t="shared" si="433"/>
        <v>Tarifs conventionnels assurance maladie</v>
      </c>
      <c r="U3102" t="str">
        <f>"930812961"</f>
        <v>930812961</v>
      </c>
    </row>
    <row r="3103" spans="1:21" x14ac:dyDescent="0.3">
      <c r="A3103" t="str">
        <f>"930020318"</f>
        <v>930020318</v>
      </c>
      <c r="B3103" t="str">
        <f>"219 300 571 00136"</f>
        <v>219 300 571 00136</v>
      </c>
      <c r="D3103" t="str">
        <f>"CDS MUNICIPAL DE PAVILLONS S/BOIS"</f>
        <v>CDS MUNICIPAL DE PAVILLONS S/BOIS</v>
      </c>
      <c r="F3103" t="str">
        <f>"91 AVENUE ARISTIDE BRIAND"</f>
        <v>91 AVENUE ARISTIDE BRIAND</v>
      </c>
      <c r="H3103" t="str">
        <f>"93320"</f>
        <v>93320</v>
      </c>
      <c r="I3103" t="str">
        <f>"LES PAVILLONS SOUS BOIS"</f>
        <v>LES PAVILLONS SOUS BOIS</v>
      </c>
      <c r="J3103" t="str">
        <f>"01 48 48 34 79 "</f>
        <v xml:space="preserve">01 48 48 34 79 </v>
      </c>
      <c r="K3103" t="str">
        <f>"01 48 49 47 65"</f>
        <v>01 48 49 47 65</v>
      </c>
      <c r="L3103" s="1">
        <v>22433</v>
      </c>
      <c r="M3103" t="str">
        <f t="shared" si="434"/>
        <v>124</v>
      </c>
      <c r="N3103" t="str">
        <f t="shared" si="435"/>
        <v>Centre de Santé</v>
      </c>
      <c r="O3103" t="str">
        <f t="shared" si="437"/>
        <v>03</v>
      </c>
      <c r="P3103" t="str">
        <f t="shared" si="438"/>
        <v>Commune</v>
      </c>
      <c r="Q3103" t="str">
        <f t="shared" si="432"/>
        <v>36</v>
      </c>
      <c r="R3103" t="str">
        <f t="shared" si="433"/>
        <v>Tarifs conventionnels assurance maladie</v>
      </c>
      <c r="U3103" t="str">
        <f>"930813100"</f>
        <v>930813100</v>
      </c>
    </row>
    <row r="3104" spans="1:21" x14ac:dyDescent="0.3">
      <c r="A3104" t="str">
        <f>"930810098"</f>
        <v>930810098</v>
      </c>
      <c r="B3104" t="str">
        <f>"219 300 647 00233"</f>
        <v>219 300 647 00233</v>
      </c>
      <c r="D3104" t="str">
        <f>"CDS MEDICO SOCIAL PAUL SCHMIERER"</f>
        <v>CDS MEDICO SOCIAL PAUL SCHMIERER</v>
      </c>
      <c r="F3104" t="str">
        <f>"21 RUE CLAUDE PERNES"</f>
        <v>21 RUE CLAUDE PERNES</v>
      </c>
      <c r="H3104" t="str">
        <f>"93110"</f>
        <v>93110</v>
      </c>
      <c r="I3104" t="str">
        <f>"ROSNY SOUS BOIS"</f>
        <v>ROSNY SOUS BOIS</v>
      </c>
      <c r="J3104" t="str">
        <f>"01 48 12 64 50 "</f>
        <v xml:space="preserve">01 48 12 64 50 </v>
      </c>
      <c r="L3104" s="1">
        <v>22433</v>
      </c>
      <c r="M3104" t="str">
        <f t="shared" si="434"/>
        <v>124</v>
      </c>
      <c r="N3104" t="str">
        <f t="shared" si="435"/>
        <v>Centre de Santé</v>
      </c>
      <c r="O3104" t="str">
        <f t="shared" si="437"/>
        <v>03</v>
      </c>
      <c r="P3104" t="str">
        <f t="shared" si="438"/>
        <v>Commune</v>
      </c>
      <c r="Q3104" t="str">
        <f t="shared" si="432"/>
        <v>36</v>
      </c>
      <c r="R3104" t="str">
        <f t="shared" si="433"/>
        <v>Tarifs conventionnels assurance maladie</v>
      </c>
      <c r="U3104" t="str">
        <f>"930813142"</f>
        <v>930813142</v>
      </c>
    </row>
    <row r="3105" spans="1:21" x14ac:dyDescent="0.3">
      <c r="A3105" t="str">
        <f>"940020357"</f>
        <v>940020357</v>
      </c>
      <c r="B3105" t="str">
        <f>"219 400 785 00016"</f>
        <v>219 400 785 00016</v>
      </c>
      <c r="D3105" t="str">
        <f>"CDS MEDICO SOCIAL MUNICIPAL H DRET"</f>
        <v>CDS MEDICO SOCIAL MUNICIPAL H DRET</v>
      </c>
      <c r="F3105" t="str">
        <f>"10 RUE DES VIGNES"</f>
        <v>10 RUE DES VIGNES</v>
      </c>
      <c r="H3105" t="str">
        <f>"94190"</f>
        <v>94190</v>
      </c>
      <c r="I3105" t="str">
        <f>"VILLENEUVE ST GEORGES"</f>
        <v>VILLENEUVE ST GEORGES</v>
      </c>
      <c r="J3105" t="str">
        <f>"01 43 89 00 77 "</f>
        <v xml:space="preserve">01 43 89 00 77 </v>
      </c>
      <c r="K3105" t="str">
        <f>"01 43 86 01 66"</f>
        <v>01 43 86 01 66</v>
      </c>
      <c r="L3105" s="1">
        <v>22433</v>
      </c>
      <c r="M3105" t="str">
        <f t="shared" si="434"/>
        <v>124</v>
      </c>
      <c r="N3105" t="str">
        <f t="shared" si="435"/>
        <v>Centre de Santé</v>
      </c>
      <c r="O3105" t="str">
        <f t="shared" si="437"/>
        <v>03</v>
      </c>
      <c r="P3105" t="str">
        <f t="shared" si="438"/>
        <v>Commune</v>
      </c>
      <c r="Q3105" t="str">
        <f t="shared" si="432"/>
        <v>36</v>
      </c>
      <c r="R3105" t="str">
        <f t="shared" si="433"/>
        <v>Tarifs conventionnels assurance maladie</v>
      </c>
      <c r="U3105" t="str">
        <f>"940806201"</f>
        <v>940806201</v>
      </c>
    </row>
    <row r="3106" spans="1:21" x14ac:dyDescent="0.3">
      <c r="A3106" t="str">
        <f>"950020032"</f>
        <v>950020032</v>
      </c>
      <c r="B3106" t="str">
        <f>"219 500 634 00288"</f>
        <v>219 500 634 00288</v>
      </c>
      <c r="D3106" t="str">
        <f>"CDS MUNICIPAL BOURSTYN"</f>
        <v>CDS MUNICIPAL BOURSTYN</v>
      </c>
      <c r="F3106" t="str">
        <f>"2 RUE DU DOCTEUR ROUQUES"</f>
        <v>2 RUE DU DOCTEUR ROUQUES</v>
      </c>
      <c r="H3106" t="str">
        <f>"95870"</f>
        <v>95870</v>
      </c>
      <c r="I3106" t="str">
        <f>"BEZONS"</f>
        <v>BEZONS</v>
      </c>
      <c r="J3106" t="str">
        <f>"01 30 76 97 13 "</f>
        <v xml:space="preserve">01 30 76 97 13 </v>
      </c>
      <c r="K3106" t="str">
        <f>"01 30 76 32 21"</f>
        <v>01 30 76 32 21</v>
      </c>
      <c r="L3106" s="1">
        <v>22433</v>
      </c>
      <c r="M3106" t="str">
        <f t="shared" si="434"/>
        <v>124</v>
      </c>
      <c r="N3106" t="str">
        <f t="shared" si="435"/>
        <v>Centre de Santé</v>
      </c>
      <c r="O3106" t="str">
        <f t="shared" si="437"/>
        <v>03</v>
      </c>
      <c r="P3106" t="str">
        <f t="shared" si="438"/>
        <v>Commune</v>
      </c>
      <c r="Q3106" t="str">
        <f t="shared" si="432"/>
        <v>36</v>
      </c>
      <c r="R3106" t="str">
        <f t="shared" si="433"/>
        <v>Tarifs conventionnels assurance maladie</v>
      </c>
      <c r="U3106" t="str">
        <f>"950803072"</f>
        <v>950803072</v>
      </c>
    </row>
    <row r="3107" spans="1:21" x14ac:dyDescent="0.3">
      <c r="A3107" t="str">
        <f>"930702311"</f>
        <v>930702311</v>
      </c>
      <c r="B3107" t="str">
        <f>"219 300 639 00198"</f>
        <v>219 300 639 00198</v>
      </c>
      <c r="D3107" t="str">
        <f>"CDS LOUISE MICHEL"</f>
        <v>CDS LOUISE MICHEL</v>
      </c>
      <c r="F3107" t="str">
        <f>"91 RUE SAINT GERMAIN"</f>
        <v>91 RUE SAINT GERMAIN</v>
      </c>
      <c r="H3107" t="str">
        <f>"93230"</f>
        <v>93230</v>
      </c>
      <c r="I3107" t="str">
        <f>"ROMAINVILLE"</f>
        <v>ROMAINVILLE</v>
      </c>
      <c r="J3107" t="str">
        <f>"01 41 83 17 77 "</f>
        <v xml:space="preserve">01 41 83 17 77 </v>
      </c>
      <c r="K3107" t="str">
        <f>"01 41 83 17 75"</f>
        <v>01 41 83 17 75</v>
      </c>
      <c r="L3107" s="1">
        <v>22402</v>
      </c>
      <c r="M3107" t="str">
        <f t="shared" si="434"/>
        <v>124</v>
      </c>
      <c r="N3107" t="str">
        <f t="shared" si="435"/>
        <v>Centre de Santé</v>
      </c>
      <c r="O3107" t="str">
        <f t="shared" si="437"/>
        <v>03</v>
      </c>
      <c r="P3107" t="str">
        <f t="shared" si="438"/>
        <v>Commune</v>
      </c>
      <c r="Q3107" t="str">
        <f t="shared" si="432"/>
        <v>36</v>
      </c>
      <c r="R3107" t="str">
        <f t="shared" si="433"/>
        <v>Tarifs conventionnels assurance maladie</v>
      </c>
      <c r="U3107" t="str">
        <f>"930813134"</f>
        <v>930813134</v>
      </c>
    </row>
    <row r="3108" spans="1:21" x14ac:dyDescent="0.3">
      <c r="A3108" t="str">
        <f>"750012825"</f>
        <v>750012825</v>
      </c>
      <c r="B3108" t="str">
        <f>"775 672 272 09257"</f>
        <v>775 672 272 09257</v>
      </c>
      <c r="D3108" t="str">
        <f>"CDS MEDICAL ET DENTAIRE HAXO CRF"</f>
        <v>CDS MEDICAL ET DENTAIRE HAXO CRF</v>
      </c>
      <c r="F3108" t="str">
        <f>"89 RUE HAXO"</f>
        <v>89 RUE HAXO</v>
      </c>
      <c r="H3108" t="str">
        <f>"75020"</f>
        <v>75020</v>
      </c>
      <c r="I3108" t="str">
        <f>"PARIS"</f>
        <v>PARIS</v>
      </c>
      <c r="J3108" t="str">
        <f>"01 40 32 34 00 "</f>
        <v xml:space="preserve">01 40 32 34 00 </v>
      </c>
      <c r="K3108" t="str">
        <f>"01 43 61 42 98"</f>
        <v>01 43 61 42 98</v>
      </c>
      <c r="L3108" s="1">
        <v>22375</v>
      </c>
      <c r="M3108" t="str">
        <f t="shared" si="434"/>
        <v>124</v>
      </c>
      <c r="N3108" t="str">
        <f t="shared" si="435"/>
        <v>Centre de Santé</v>
      </c>
      <c r="O3108" t="str">
        <f>"61"</f>
        <v>61</v>
      </c>
      <c r="P3108" t="str">
        <f>"Association Loi 1901 Reconnue d'Utilité Publique"</f>
        <v>Association Loi 1901 Reconnue d'Utilité Publique</v>
      </c>
      <c r="Q3108" t="str">
        <f t="shared" si="432"/>
        <v>36</v>
      </c>
      <c r="R3108" t="str">
        <f t="shared" si="433"/>
        <v>Tarifs conventionnels assurance maladie</v>
      </c>
      <c r="U3108" t="str">
        <f>"750721334"</f>
        <v>750721334</v>
      </c>
    </row>
    <row r="3109" spans="1:21" x14ac:dyDescent="0.3">
      <c r="A3109" t="str">
        <f>"590781027"</f>
        <v>590781027</v>
      </c>
      <c r="B3109" t="str">
        <f>"422 829 499 00033"</f>
        <v>422 829 499 00033</v>
      </c>
      <c r="D3109" t="str">
        <f>"CENTRE DE SOINS INFIRMIERS"</f>
        <v>CENTRE DE SOINS INFIRMIERS</v>
      </c>
      <c r="F3109" t="str">
        <f>"18 RUE PAUL RAMADIER"</f>
        <v>18 RUE PAUL RAMADIER</v>
      </c>
      <c r="H3109" t="str">
        <f>"59800"</f>
        <v>59800</v>
      </c>
      <c r="I3109" t="str">
        <f>"LILLE"</f>
        <v>LILLE</v>
      </c>
      <c r="J3109" t="str">
        <f>"03 20 55 18 65 "</f>
        <v xml:space="preserve">03 20 55 18 65 </v>
      </c>
      <c r="L3109" s="1">
        <v>22285</v>
      </c>
      <c r="M3109" t="str">
        <f t="shared" si="434"/>
        <v>124</v>
      </c>
      <c r="N3109" t="str">
        <f t="shared" si="435"/>
        <v>Centre de Santé</v>
      </c>
      <c r="O3109" t="str">
        <f>"60"</f>
        <v>60</v>
      </c>
      <c r="P3109" t="str">
        <f>"Association Loi 1901 non Reconnue d'Utilité Publique"</f>
        <v>Association Loi 1901 non Reconnue d'Utilité Publique</v>
      </c>
      <c r="Q3109" t="str">
        <f t="shared" si="432"/>
        <v>36</v>
      </c>
      <c r="R3109" t="str">
        <f t="shared" si="433"/>
        <v>Tarifs conventionnels assurance maladie</v>
      </c>
      <c r="U3109" t="str">
        <f>"590046603"</f>
        <v>590046603</v>
      </c>
    </row>
    <row r="3110" spans="1:21" x14ac:dyDescent="0.3">
      <c r="A3110" t="str">
        <f>"130785470"</f>
        <v>130785470</v>
      </c>
      <c r="D3110" t="str">
        <f>"CDS OXANCE PIERRE CALISTI"</f>
        <v>CDS OXANCE PIERRE CALISTI</v>
      </c>
      <c r="F3110" t="str">
        <f>"118 RUE GEORGES ROMAND"</f>
        <v>118 RUE GEORGES ROMAND</v>
      </c>
      <c r="H3110" t="str">
        <f>"13600"</f>
        <v>13600</v>
      </c>
      <c r="I3110" t="str">
        <f>"LA CIOTAT"</f>
        <v>LA CIOTAT</v>
      </c>
      <c r="J3110" t="str">
        <f>"04 96 19 10 82 "</f>
        <v xml:space="preserve">04 96 19 10 82 </v>
      </c>
      <c r="L3110" s="1">
        <v>22282</v>
      </c>
      <c r="M3110" t="str">
        <f t="shared" si="434"/>
        <v>124</v>
      </c>
      <c r="N3110" t="str">
        <f t="shared" si="435"/>
        <v>Centre de Santé</v>
      </c>
      <c r="O3110" t="str">
        <f>"47"</f>
        <v>47</v>
      </c>
      <c r="P3110" t="str">
        <f>"Société Mutualiste"</f>
        <v>Société Mutualiste</v>
      </c>
      <c r="Q3110" t="str">
        <f t="shared" si="432"/>
        <v>36</v>
      </c>
      <c r="R3110" t="str">
        <f t="shared" si="433"/>
        <v>Tarifs conventionnels assurance maladie</v>
      </c>
      <c r="U3110" t="str">
        <f>"690048111"</f>
        <v>690048111</v>
      </c>
    </row>
    <row r="3111" spans="1:21" x14ac:dyDescent="0.3">
      <c r="A3111" t="str">
        <f>"750010159"</f>
        <v>750010159</v>
      </c>
      <c r="B3111" t="str">
        <f>"775 681 331 00259"</f>
        <v>775 681 331 00259</v>
      </c>
      <c r="D3111" t="str">
        <f>"CDS ELIO HABIB"</f>
        <v>CDS ELIO HABIB</v>
      </c>
      <c r="E3111" t="str">
        <f>"25-27"</f>
        <v>25-27</v>
      </c>
      <c r="F3111" t="str">
        <f>"25 BOULEVARD DE PICPUS"</f>
        <v>25 BOULEVARD DE PICPUS</v>
      </c>
      <c r="H3111" t="str">
        <f>"75012"</f>
        <v>75012</v>
      </c>
      <c r="I3111" t="str">
        <f>"PARIS"</f>
        <v>PARIS</v>
      </c>
      <c r="J3111" t="str">
        <f>"01 48 87 87 85 "</f>
        <v xml:space="preserve">01 48 87 87 85 </v>
      </c>
      <c r="K3111" t="str">
        <f>"01 48 87 76 13"</f>
        <v>01 48 87 76 13</v>
      </c>
      <c r="L3111" s="1">
        <v>22282</v>
      </c>
      <c r="M3111" t="str">
        <f t="shared" si="434"/>
        <v>124</v>
      </c>
      <c r="N3111" t="str">
        <f t="shared" si="435"/>
        <v>Centre de Santé</v>
      </c>
      <c r="O3111" t="str">
        <f>"61"</f>
        <v>61</v>
      </c>
      <c r="P3111" t="str">
        <f>"Association Loi 1901 Reconnue d'Utilité Publique"</f>
        <v>Association Loi 1901 Reconnue d'Utilité Publique</v>
      </c>
      <c r="Q3111" t="str">
        <f t="shared" ref="Q3111:Q3174" si="439">"36"</f>
        <v>36</v>
      </c>
      <c r="R3111" t="str">
        <f t="shared" ref="R3111:R3174" si="440">"Tarifs conventionnels assurance maladie"</f>
        <v>Tarifs conventionnels assurance maladie</v>
      </c>
      <c r="U3111" t="str">
        <f>"750000127"</f>
        <v>750000127</v>
      </c>
    </row>
    <row r="3112" spans="1:21" x14ac:dyDescent="0.3">
      <c r="A3112" t="str">
        <f>"750010555"</f>
        <v>750010555</v>
      </c>
      <c r="B3112" t="str">
        <f>"313 524 753 00073"</f>
        <v>313 524 753 00073</v>
      </c>
      <c r="D3112" t="str">
        <f>"CDS POLYVALENT MIROMESNIL"</f>
        <v>CDS POLYVALENT MIROMESNIL</v>
      </c>
      <c r="F3112" t="str">
        <f>"6 AVENUE CESAR CAIRE"</f>
        <v>6 AVENUE CESAR CAIRE</v>
      </c>
      <c r="H3112" t="str">
        <f>"75008"</f>
        <v>75008</v>
      </c>
      <c r="I3112" t="str">
        <f>"PARIS"</f>
        <v>PARIS</v>
      </c>
      <c r="J3112" t="str">
        <f>"01 55 56 62 50 "</f>
        <v xml:space="preserve">01 55 56 62 50 </v>
      </c>
      <c r="L3112" s="1">
        <v>22282</v>
      </c>
      <c r="M3112" t="str">
        <f t="shared" si="434"/>
        <v>124</v>
      </c>
      <c r="N3112" t="str">
        <f t="shared" si="435"/>
        <v>Centre de Santé</v>
      </c>
      <c r="O3112" t="str">
        <f>"60"</f>
        <v>60</v>
      </c>
      <c r="P3112" t="str">
        <f>"Association Loi 1901 non Reconnue d'Utilité Publique"</f>
        <v>Association Loi 1901 non Reconnue d'Utilité Publique</v>
      </c>
      <c r="Q3112" t="str">
        <f t="shared" si="439"/>
        <v>36</v>
      </c>
      <c r="R3112" t="str">
        <f t="shared" si="440"/>
        <v>Tarifs conventionnels assurance maladie</v>
      </c>
      <c r="U3112" t="str">
        <f>"750819583"</f>
        <v>750819583</v>
      </c>
    </row>
    <row r="3113" spans="1:21" x14ac:dyDescent="0.3">
      <c r="A3113" t="str">
        <f>"750010829"</f>
        <v>750010829</v>
      </c>
      <c r="B3113" t="str">
        <f>"844 325 225 00010"</f>
        <v>844 325 225 00010</v>
      </c>
      <c r="D3113" t="str">
        <f>"CDS RICHERAND"</f>
        <v>CDS RICHERAND</v>
      </c>
      <c r="F3113" t="str">
        <f>"4 AVENUE RICHERAND"</f>
        <v>4 AVENUE RICHERAND</v>
      </c>
      <c r="H3113" t="str">
        <f>"75010"</f>
        <v>75010</v>
      </c>
      <c r="I3113" t="str">
        <f>"PARIS"</f>
        <v>PARIS</v>
      </c>
      <c r="J3113" t="str">
        <f>"01 40 03 38 40 "</f>
        <v xml:space="preserve">01 40 03 38 40 </v>
      </c>
      <c r="L3113" s="1">
        <v>22282</v>
      </c>
      <c r="M3113" t="str">
        <f t="shared" si="434"/>
        <v>124</v>
      </c>
      <c r="N3113" t="str">
        <f t="shared" si="435"/>
        <v>Centre de Santé</v>
      </c>
      <c r="O3113" t="str">
        <f>"75"</f>
        <v>75</v>
      </c>
      <c r="P3113" t="str">
        <f>"Autre Société"</f>
        <v>Autre Société</v>
      </c>
      <c r="Q3113" t="str">
        <f t="shared" si="439"/>
        <v>36</v>
      </c>
      <c r="R3113" t="str">
        <f t="shared" si="440"/>
        <v>Tarifs conventionnels assurance maladie</v>
      </c>
      <c r="U3113" t="str">
        <f>"750063836"</f>
        <v>750063836</v>
      </c>
    </row>
    <row r="3114" spans="1:21" x14ac:dyDescent="0.3">
      <c r="A3114" t="str">
        <f>"880781273"</f>
        <v>880781273</v>
      </c>
      <c r="B3114" t="str">
        <f>"775 615 537 00484"</f>
        <v>775 615 537 00484</v>
      </c>
      <c r="D3114" t="str">
        <f>"CENTRE DE SANTE DENTAIRE UTML"</f>
        <v>CENTRE DE SANTE DENTAIRE UTML</v>
      </c>
      <c r="F3114" t="str">
        <f>"24 RUE DE LA PRAIRIE"</f>
        <v>24 RUE DE LA PRAIRIE</v>
      </c>
      <c r="H3114" t="str">
        <f>"88100"</f>
        <v>88100</v>
      </c>
      <c r="I3114" t="str">
        <f>"ST DIE DES VOSGES"</f>
        <v>ST DIE DES VOSGES</v>
      </c>
      <c r="J3114" t="str">
        <f>"03 29 56 16 40 "</f>
        <v xml:space="preserve">03 29 56 16 40 </v>
      </c>
      <c r="L3114" s="1">
        <v>22282</v>
      </c>
      <c r="M3114" t="str">
        <f t="shared" si="434"/>
        <v>124</v>
      </c>
      <c r="N3114" t="str">
        <f t="shared" si="435"/>
        <v>Centre de Santé</v>
      </c>
      <c r="O3114" t="str">
        <f>"47"</f>
        <v>47</v>
      </c>
      <c r="P3114" t="str">
        <f>"Société Mutualiste"</f>
        <v>Société Mutualiste</v>
      </c>
      <c r="Q3114" t="str">
        <f t="shared" si="439"/>
        <v>36</v>
      </c>
      <c r="R3114" t="str">
        <f t="shared" si="440"/>
        <v>Tarifs conventionnels assurance maladie</v>
      </c>
      <c r="U3114" t="str">
        <f>"540013042"</f>
        <v>540013042</v>
      </c>
    </row>
    <row r="3115" spans="1:21" x14ac:dyDescent="0.3">
      <c r="A3115" t="str">
        <f>"390785137"</f>
        <v>390785137</v>
      </c>
      <c r="B3115" t="str">
        <f>"775 597 487 00195"</f>
        <v>775 597 487 00195</v>
      </c>
      <c r="D3115" t="str">
        <f>"CTRE SANTE DENTAIRE MUTUALISTE LONS"</f>
        <v>CTRE SANTE DENTAIRE MUTUALISTE LONS</v>
      </c>
      <c r="F3115" t="str">
        <f>"230 RUE REGARD"</f>
        <v>230 RUE REGARD</v>
      </c>
      <c r="H3115" t="str">
        <f>"39000"</f>
        <v>39000</v>
      </c>
      <c r="I3115" t="str">
        <f>"LONS LE SAUNIER"</f>
        <v>LONS LE SAUNIER</v>
      </c>
      <c r="J3115" t="str">
        <f>"03 84 86 20 00 "</f>
        <v xml:space="preserve">03 84 86 20 00 </v>
      </c>
      <c r="K3115" t="str">
        <f>"03 84 86 14 98"</f>
        <v>03 84 86 14 98</v>
      </c>
      <c r="L3115" s="1">
        <v>22010</v>
      </c>
      <c r="M3115" t="str">
        <f t="shared" si="434"/>
        <v>124</v>
      </c>
      <c r="N3115" t="str">
        <f t="shared" si="435"/>
        <v>Centre de Santé</v>
      </c>
      <c r="O3115" t="str">
        <f>"47"</f>
        <v>47</v>
      </c>
      <c r="P3115" t="str">
        <f>"Société Mutualiste"</f>
        <v>Société Mutualiste</v>
      </c>
      <c r="Q3115" t="str">
        <f t="shared" si="439"/>
        <v>36</v>
      </c>
      <c r="R3115" t="str">
        <f t="shared" si="440"/>
        <v>Tarifs conventionnels assurance maladie</v>
      </c>
      <c r="U3115" t="str">
        <f>"390784007"</f>
        <v>390784007</v>
      </c>
    </row>
    <row r="3116" spans="1:21" x14ac:dyDescent="0.3">
      <c r="A3116" t="str">
        <f>"190002600"</f>
        <v>190002600</v>
      </c>
      <c r="D3116" t="str">
        <f>"CENTRE DE SOINS INFIRMIERS"</f>
        <v>CENTRE DE SOINS INFIRMIERS</v>
      </c>
      <c r="F3116" t="str">
        <f>"2 SENTIER DU PICATARD"</f>
        <v>2 SENTIER DU PICATARD</v>
      </c>
      <c r="H3116" t="str">
        <f>"19700"</f>
        <v>19700</v>
      </c>
      <c r="I3116" t="str">
        <f>"SEILHAC"</f>
        <v>SEILHAC</v>
      </c>
      <c r="J3116" t="str">
        <f>"05 55 27 06 36 "</f>
        <v xml:space="preserve">05 55 27 06 36 </v>
      </c>
      <c r="L3116" s="1">
        <v>22007</v>
      </c>
      <c r="M3116" t="str">
        <f t="shared" si="434"/>
        <v>124</v>
      </c>
      <c r="N3116" t="str">
        <f t="shared" si="435"/>
        <v>Centre de Santé</v>
      </c>
      <c r="O3116" t="str">
        <f>"60"</f>
        <v>60</v>
      </c>
      <c r="P3116" t="str">
        <f>"Association Loi 1901 non Reconnue d'Utilité Publique"</f>
        <v>Association Loi 1901 non Reconnue d'Utilité Publique</v>
      </c>
      <c r="Q3116" t="str">
        <f t="shared" si="439"/>
        <v>36</v>
      </c>
      <c r="R3116" t="str">
        <f t="shared" si="440"/>
        <v>Tarifs conventionnels assurance maladie</v>
      </c>
      <c r="U3116" t="str">
        <f>"190012336"</f>
        <v>190012336</v>
      </c>
    </row>
    <row r="3117" spans="1:21" x14ac:dyDescent="0.3">
      <c r="A3117" t="str">
        <f>"750020604"</f>
        <v>750020604</v>
      </c>
      <c r="B3117" t="str">
        <f>"751 068 545 00100"</f>
        <v>751 068 545 00100</v>
      </c>
      <c r="D3117" t="str">
        <f>"CDS DENTAIRE CORENTIN"</f>
        <v>CDS DENTAIRE CORENTIN</v>
      </c>
      <c r="F3117" t="str">
        <f>"54 RUE DU PERE CORENTIN"</f>
        <v>54 RUE DU PERE CORENTIN</v>
      </c>
      <c r="H3117" t="str">
        <f>"75014"</f>
        <v>75014</v>
      </c>
      <c r="I3117" t="str">
        <f>"PARIS"</f>
        <v>PARIS</v>
      </c>
      <c r="J3117" t="str">
        <f>"01 53 90 10 51 "</f>
        <v xml:space="preserve">01 53 90 10 51 </v>
      </c>
      <c r="K3117" t="str">
        <f>"01 53 90 10 56"</f>
        <v>01 53 90 10 56</v>
      </c>
      <c r="L3117" s="1">
        <v>22007</v>
      </c>
      <c r="M3117" t="str">
        <f t="shared" si="434"/>
        <v>124</v>
      </c>
      <c r="N3117" t="str">
        <f t="shared" si="435"/>
        <v>Centre de Santé</v>
      </c>
      <c r="O3117" t="str">
        <f>"60"</f>
        <v>60</v>
      </c>
      <c r="P3117" t="str">
        <f>"Association Loi 1901 non Reconnue d'Utilité Publique"</f>
        <v>Association Loi 1901 non Reconnue d'Utilité Publique</v>
      </c>
      <c r="Q3117" t="str">
        <f t="shared" si="439"/>
        <v>36</v>
      </c>
      <c r="R3117" t="str">
        <f t="shared" si="440"/>
        <v>Tarifs conventionnels assurance maladie</v>
      </c>
      <c r="U3117" t="str">
        <f>"750050767"</f>
        <v>750050767</v>
      </c>
    </row>
    <row r="3118" spans="1:21" x14ac:dyDescent="0.3">
      <c r="A3118" t="str">
        <f>"810101956"</f>
        <v>810101956</v>
      </c>
      <c r="B3118" t="str">
        <f>"775 711 674 00058"</f>
        <v>775 711 674 00058</v>
      </c>
      <c r="D3118" t="str">
        <f>"CTRE DENT MUT GRAULHET"</f>
        <v>CTRE DENT MUT GRAULHET</v>
      </c>
      <c r="F3118" t="str">
        <f>"30 AVENUE CHARLES DE GAULLE"</f>
        <v>30 AVENUE CHARLES DE GAULLE</v>
      </c>
      <c r="H3118" t="str">
        <f>"81300"</f>
        <v>81300</v>
      </c>
      <c r="I3118" t="str">
        <f>"GRAULHET"</f>
        <v>GRAULHET</v>
      </c>
      <c r="J3118" t="str">
        <f>"05 63 34 50 60 "</f>
        <v xml:space="preserve">05 63 34 50 60 </v>
      </c>
      <c r="L3118" s="1">
        <v>21956</v>
      </c>
      <c r="M3118" t="str">
        <f t="shared" si="434"/>
        <v>124</v>
      </c>
      <c r="N3118" t="str">
        <f t="shared" si="435"/>
        <v>Centre de Santé</v>
      </c>
      <c r="O3118" t="str">
        <f>"47"</f>
        <v>47</v>
      </c>
      <c r="P3118" t="str">
        <f>"Société Mutualiste"</f>
        <v>Société Mutualiste</v>
      </c>
      <c r="Q3118" t="str">
        <f t="shared" si="439"/>
        <v>36</v>
      </c>
      <c r="R3118" t="str">
        <f t="shared" si="440"/>
        <v>Tarifs conventionnels assurance maladie</v>
      </c>
      <c r="U3118" t="str">
        <f>"810099903"</f>
        <v>810099903</v>
      </c>
    </row>
    <row r="3119" spans="1:21" x14ac:dyDescent="0.3">
      <c r="A3119" t="str">
        <f>"520784281"</f>
        <v>520784281</v>
      </c>
      <c r="B3119" t="str">
        <f>"775 613 219 00093"</f>
        <v>775 613 219 00093</v>
      </c>
      <c r="D3119" t="str">
        <f>"CLINIQUE DENTAIRE"</f>
        <v>CLINIQUE DENTAIRE</v>
      </c>
      <c r="F3119" t="str">
        <f>"7 RUE DU BRIGADIER ALBERT"</f>
        <v>7 RUE DU BRIGADIER ALBERT</v>
      </c>
      <c r="H3119" t="str">
        <f>"52100"</f>
        <v>52100</v>
      </c>
      <c r="I3119" t="str">
        <f>"ST DIZIER"</f>
        <v>ST DIZIER</v>
      </c>
      <c r="J3119" t="str">
        <f>"03 25 56 32 41 "</f>
        <v xml:space="preserve">03 25 56 32 41 </v>
      </c>
      <c r="L3119" s="1">
        <v>21916</v>
      </c>
      <c r="M3119" t="str">
        <f t="shared" si="434"/>
        <v>124</v>
      </c>
      <c r="N3119" t="str">
        <f t="shared" si="435"/>
        <v>Centre de Santé</v>
      </c>
      <c r="O3119" t="str">
        <f>"40"</f>
        <v>40</v>
      </c>
      <c r="P3119" t="str">
        <f>"Régime Général de Sécurité Sociale"</f>
        <v>Régime Général de Sécurité Sociale</v>
      </c>
      <c r="Q3119" t="str">
        <f t="shared" si="439"/>
        <v>36</v>
      </c>
      <c r="R3119" t="str">
        <f t="shared" si="440"/>
        <v>Tarifs conventionnels assurance maladie</v>
      </c>
      <c r="U3119" t="str">
        <f>"520782251"</f>
        <v>520782251</v>
      </c>
    </row>
    <row r="3120" spans="1:21" x14ac:dyDescent="0.3">
      <c r="A3120" t="str">
        <f>"540000338"</f>
        <v>540000338</v>
      </c>
      <c r="B3120" t="str">
        <f>"775 615 537 00310"</f>
        <v>775 615 537 00310</v>
      </c>
      <c r="D3120" t="str">
        <f>"CENTRE DE SANTE DENTAIRE UTML"</f>
        <v>CENTRE DE SANTE DENTAIRE UTML</v>
      </c>
      <c r="E3120" t="str">
        <f>"RESIDENCE LE CLOS DES AQUARELLES"</f>
        <v>RESIDENCE LE CLOS DES AQUARELLES</v>
      </c>
      <c r="F3120" t="str">
        <f>"5 RUE CYFFLE"</f>
        <v>5 RUE CYFFLE</v>
      </c>
      <c r="H3120" t="str">
        <f>"54300"</f>
        <v>54300</v>
      </c>
      <c r="I3120" t="str">
        <f>"LUNEVILLE"</f>
        <v>LUNEVILLE</v>
      </c>
      <c r="J3120" t="str">
        <f>"03 83 74 18 79 "</f>
        <v xml:space="preserve">03 83 74 18 79 </v>
      </c>
      <c r="K3120" t="str">
        <f>"03 83 74 17 03"</f>
        <v>03 83 74 17 03</v>
      </c>
      <c r="L3120" s="1">
        <v>21916</v>
      </c>
      <c r="M3120" t="str">
        <f t="shared" si="434"/>
        <v>124</v>
      </c>
      <c r="N3120" t="str">
        <f t="shared" si="435"/>
        <v>Centre de Santé</v>
      </c>
      <c r="O3120" t="str">
        <f>"47"</f>
        <v>47</v>
      </c>
      <c r="P3120" t="str">
        <f>"Société Mutualiste"</f>
        <v>Société Mutualiste</v>
      </c>
      <c r="Q3120" t="str">
        <f t="shared" si="439"/>
        <v>36</v>
      </c>
      <c r="R3120" t="str">
        <f t="shared" si="440"/>
        <v>Tarifs conventionnels assurance maladie</v>
      </c>
      <c r="U3120" t="str">
        <f>"540013042"</f>
        <v>540013042</v>
      </c>
    </row>
    <row r="3121" spans="1:21" x14ac:dyDescent="0.3">
      <c r="A3121" t="str">
        <f>"570017699"</f>
        <v>570017699</v>
      </c>
      <c r="B3121" t="str">
        <f>"775 685 316 03383"</f>
        <v>775 685 316 03383</v>
      </c>
      <c r="D3121" t="str">
        <f>"CSP FILIERIS DE HOMBOURG HAUT"</f>
        <v>CSP FILIERIS DE HOMBOURG HAUT</v>
      </c>
      <c r="E3121" t="str">
        <f>"CITE DES CHENES"</f>
        <v>CITE DES CHENES</v>
      </c>
      <c r="F3121" t="str">
        <f>"5 RUE DE BELLE-VUE"</f>
        <v>5 RUE DE BELLE-VUE</v>
      </c>
      <c r="H3121" t="str">
        <f>"57470"</f>
        <v>57470</v>
      </c>
      <c r="I3121" t="str">
        <f>"HOMBOURG HAUT"</f>
        <v>HOMBOURG HAUT</v>
      </c>
      <c r="J3121" t="str">
        <f>"03 87 04 53 40 "</f>
        <v xml:space="preserve">03 87 04 53 40 </v>
      </c>
      <c r="K3121" t="str">
        <f>"03 87 81 64 29"</f>
        <v>03 87 81 64 29</v>
      </c>
      <c r="L3121" s="1">
        <v>21916</v>
      </c>
      <c r="M3121" t="str">
        <f t="shared" si="434"/>
        <v>124</v>
      </c>
      <c r="N3121" t="str">
        <f t="shared" si="435"/>
        <v>Centre de Santé</v>
      </c>
      <c r="O3121" t="str">
        <f>"41"</f>
        <v>41</v>
      </c>
      <c r="P3121" t="str">
        <f>"Régime Spécial de Sécurité Sociale"</f>
        <v>Régime Spécial de Sécurité Sociale</v>
      </c>
      <c r="Q3121" t="str">
        <f t="shared" si="439"/>
        <v>36</v>
      </c>
      <c r="R3121" t="str">
        <f t="shared" si="440"/>
        <v>Tarifs conventionnels assurance maladie</v>
      </c>
      <c r="U3121" t="str">
        <f>"750050759"</f>
        <v>750050759</v>
      </c>
    </row>
    <row r="3122" spans="1:21" x14ac:dyDescent="0.3">
      <c r="A3122" t="str">
        <f>"570018499"</f>
        <v>570018499</v>
      </c>
      <c r="B3122" t="str">
        <f>"775 685 316 03250"</f>
        <v>775 685 316 03250</v>
      </c>
      <c r="D3122" t="str">
        <f>"CSP FILIERIS DE CREUTZWALD"</f>
        <v>CSP FILIERIS DE CREUTZWALD</v>
      </c>
      <c r="F3122" t="str">
        <f>"84 RUE DE LA GARE"</f>
        <v>84 RUE DE LA GARE</v>
      </c>
      <c r="H3122" t="str">
        <f>"57150"</f>
        <v>57150</v>
      </c>
      <c r="I3122" t="str">
        <f>"CREUTZWALD"</f>
        <v>CREUTZWALD</v>
      </c>
      <c r="J3122" t="str">
        <f>"03 87 93 00 75 "</f>
        <v xml:space="preserve">03 87 93 00 75 </v>
      </c>
      <c r="K3122" t="str">
        <f>"03 87 93 17 43"</f>
        <v>03 87 93 17 43</v>
      </c>
      <c r="L3122" s="1">
        <v>21916</v>
      </c>
      <c r="M3122" t="str">
        <f t="shared" si="434"/>
        <v>124</v>
      </c>
      <c r="N3122" t="str">
        <f t="shared" si="435"/>
        <v>Centre de Santé</v>
      </c>
      <c r="O3122" t="str">
        <f>"41"</f>
        <v>41</v>
      </c>
      <c r="P3122" t="str">
        <f>"Régime Spécial de Sécurité Sociale"</f>
        <v>Régime Spécial de Sécurité Sociale</v>
      </c>
      <c r="Q3122" t="str">
        <f t="shared" si="439"/>
        <v>36</v>
      </c>
      <c r="R3122" t="str">
        <f t="shared" si="440"/>
        <v>Tarifs conventionnels assurance maladie</v>
      </c>
      <c r="U3122" t="str">
        <f>"750050759"</f>
        <v>750050759</v>
      </c>
    </row>
    <row r="3123" spans="1:21" x14ac:dyDescent="0.3">
      <c r="A3123" t="str">
        <f>"580780534"</f>
        <v>580780534</v>
      </c>
      <c r="B3123" t="str">
        <f>"775 672 272 15635"</f>
        <v>775 672 272 15635</v>
      </c>
      <c r="D3123" t="str">
        <f>"CENTRE DE SOINS INFIRMIERS LUZY"</f>
        <v>CENTRE DE SOINS INFIRMIERS LUZY</v>
      </c>
      <c r="E3123" t="str">
        <f>"CENTRE MEDICO SOCIAL"</f>
        <v>CENTRE MEDICO SOCIAL</v>
      </c>
      <c r="F3123" t="str">
        <f>"5 AVENUE HOCHE"</f>
        <v>5 AVENUE HOCHE</v>
      </c>
      <c r="H3123" t="str">
        <f>"58170"</f>
        <v>58170</v>
      </c>
      <c r="I3123" t="str">
        <f>"LUZY"</f>
        <v>LUZY</v>
      </c>
      <c r="J3123" t="str">
        <f>"03 86 30 21 44 "</f>
        <v xml:space="preserve">03 86 30 21 44 </v>
      </c>
      <c r="K3123" t="str">
        <f>"03 86 30 06 69"</f>
        <v>03 86 30 06 69</v>
      </c>
      <c r="L3123" s="1">
        <v>21916</v>
      </c>
      <c r="M3123" t="str">
        <f t="shared" si="434"/>
        <v>124</v>
      </c>
      <c r="N3123" t="str">
        <f t="shared" si="435"/>
        <v>Centre de Santé</v>
      </c>
      <c r="O3123" t="str">
        <f>"61"</f>
        <v>61</v>
      </c>
      <c r="P3123" t="str">
        <f>"Association Loi 1901 Reconnue d'Utilité Publique"</f>
        <v>Association Loi 1901 Reconnue d'Utilité Publique</v>
      </c>
      <c r="Q3123" t="str">
        <f t="shared" si="439"/>
        <v>36</v>
      </c>
      <c r="R3123" t="str">
        <f t="shared" si="440"/>
        <v>Tarifs conventionnels assurance maladie</v>
      </c>
      <c r="U3123" t="str">
        <f>"750721334"</f>
        <v>750721334</v>
      </c>
    </row>
    <row r="3124" spans="1:21" x14ac:dyDescent="0.3">
      <c r="A3124" t="str">
        <f>"880785506"</f>
        <v>880785506</v>
      </c>
      <c r="B3124" t="str">
        <f>"775 615 537 00542"</f>
        <v>775 615 537 00542</v>
      </c>
      <c r="D3124" t="str">
        <f>"CENTRE DE SANTE DENTAIRE UTML"</f>
        <v>CENTRE DE SANTE DENTAIRE UTML</v>
      </c>
      <c r="F3124" t="str">
        <f>"16 QUAI DU COLONEL RENARD"</f>
        <v>16 QUAI DU COLONEL RENARD</v>
      </c>
      <c r="H3124" t="str">
        <f>"88002"</f>
        <v>88002</v>
      </c>
      <c r="I3124" t="str">
        <f>"EPINAL CEDEX"</f>
        <v>EPINAL CEDEX</v>
      </c>
      <c r="J3124" t="str">
        <f>"03 29 82 20 93 "</f>
        <v xml:space="preserve">03 29 82 20 93 </v>
      </c>
      <c r="K3124" t="str">
        <f>"03 29 35 09 97"</f>
        <v>03 29 35 09 97</v>
      </c>
      <c r="L3124" s="1">
        <v>21885</v>
      </c>
      <c r="M3124" t="str">
        <f t="shared" si="434"/>
        <v>124</v>
      </c>
      <c r="N3124" t="str">
        <f t="shared" si="435"/>
        <v>Centre de Santé</v>
      </c>
      <c r="O3124" t="str">
        <f>"47"</f>
        <v>47</v>
      </c>
      <c r="P3124" t="str">
        <f>"Société Mutualiste"</f>
        <v>Société Mutualiste</v>
      </c>
      <c r="Q3124" t="str">
        <f t="shared" si="439"/>
        <v>36</v>
      </c>
      <c r="R3124" t="str">
        <f t="shared" si="440"/>
        <v>Tarifs conventionnels assurance maladie</v>
      </c>
      <c r="U3124" t="str">
        <f>"540013042"</f>
        <v>540013042</v>
      </c>
    </row>
    <row r="3125" spans="1:21" x14ac:dyDescent="0.3">
      <c r="A3125" t="str">
        <f>"530029065"</f>
        <v>530029065</v>
      </c>
      <c r="B3125" t="str">
        <f>"328 321 302 00015"</f>
        <v>328 321 302 00015</v>
      </c>
      <c r="D3125" t="str">
        <f>"CSI ADMR DE SOUGE / MESLAY"</f>
        <v>CSI ADMR DE SOUGE / MESLAY</v>
      </c>
      <c r="F3125" t="str">
        <f>"4 RUE CHEVREUL"</f>
        <v>4 RUE CHEVREUL</v>
      </c>
      <c r="H3125" t="str">
        <f>"53170"</f>
        <v>53170</v>
      </c>
      <c r="I3125" t="str">
        <f>"MESLAY DU MAINE"</f>
        <v>MESLAY DU MAINE</v>
      </c>
      <c r="J3125" t="str">
        <f>"02 43 98 40 11 "</f>
        <v xml:space="preserve">02 43 98 40 11 </v>
      </c>
      <c r="L3125" s="1">
        <v>21823</v>
      </c>
      <c r="M3125" t="str">
        <f t="shared" si="434"/>
        <v>124</v>
      </c>
      <c r="N3125" t="str">
        <f t="shared" si="435"/>
        <v>Centre de Santé</v>
      </c>
      <c r="O3125" t="str">
        <f>"60"</f>
        <v>60</v>
      </c>
      <c r="P3125" t="str">
        <f>"Association Loi 1901 non Reconnue d'Utilité Publique"</f>
        <v>Association Loi 1901 non Reconnue d'Utilité Publique</v>
      </c>
      <c r="Q3125" t="str">
        <f t="shared" si="439"/>
        <v>36</v>
      </c>
      <c r="R3125" t="str">
        <f t="shared" si="440"/>
        <v>Tarifs conventionnels assurance maladie</v>
      </c>
      <c r="U3125" t="str">
        <f>"530008317"</f>
        <v>530008317</v>
      </c>
    </row>
    <row r="3126" spans="1:21" x14ac:dyDescent="0.3">
      <c r="A3126" t="str">
        <f>"550002018"</f>
        <v>550002018</v>
      </c>
      <c r="B3126" t="str">
        <f>"775 615 537 00617"</f>
        <v>775 615 537 00617</v>
      </c>
      <c r="D3126" t="str">
        <f>"CENTRE DE SANTE DENTAIRE UTML"</f>
        <v>CENTRE DE SANTE DENTAIRE UTML</v>
      </c>
      <c r="F3126" t="str">
        <f>"30 RUE ANTHOUARD"</f>
        <v>30 RUE ANTHOUARD</v>
      </c>
      <c r="H3126" t="str">
        <f>"55100"</f>
        <v>55100</v>
      </c>
      <c r="I3126" t="str">
        <f>"VERDUN"</f>
        <v>VERDUN</v>
      </c>
      <c r="J3126" t="str">
        <f>"03 29 86 09 48 "</f>
        <v xml:space="preserve">03 29 86 09 48 </v>
      </c>
      <c r="K3126" t="str">
        <f>"03 29 84 66 09"</f>
        <v>03 29 84 66 09</v>
      </c>
      <c r="L3126" s="1">
        <v>21808</v>
      </c>
      <c r="M3126" t="str">
        <f t="shared" si="434"/>
        <v>124</v>
      </c>
      <c r="N3126" t="str">
        <f t="shared" si="435"/>
        <v>Centre de Santé</v>
      </c>
      <c r="O3126" t="str">
        <f>"47"</f>
        <v>47</v>
      </c>
      <c r="P3126" t="str">
        <f>"Société Mutualiste"</f>
        <v>Société Mutualiste</v>
      </c>
      <c r="Q3126" t="str">
        <f t="shared" si="439"/>
        <v>36</v>
      </c>
      <c r="R3126" t="str">
        <f t="shared" si="440"/>
        <v>Tarifs conventionnels assurance maladie</v>
      </c>
      <c r="U3126" t="str">
        <f>"540013042"</f>
        <v>540013042</v>
      </c>
    </row>
    <row r="3127" spans="1:21" x14ac:dyDescent="0.3">
      <c r="A3127" t="str">
        <f>"190002394"</f>
        <v>190002394</v>
      </c>
      <c r="B3127" t="str">
        <f>"777 966 870 00019"</f>
        <v>777 966 870 00019</v>
      </c>
      <c r="D3127" t="str">
        <f>"CENTRE DE SOINS INFIRMIERS"</f>
        <v>CENTRE DE SOINS INFIRMIERS</v>
      </c>
      <c r="F3127" t="str">
        <f>"6 RUE SOUHAM"</f>
        <v>6 RUE SOUHAM</v>
      </c>
      <c r="H3127" t="str">
        <f>"19033"</f>
        <v>19033</v>
      </c>
      <c r="I3127" t="str">
        <f>"TULLE CEDEX"</f>
        <v>TULLE CEDEX</v>
      </c>
      <c r="J3127" t="str">
        <f>"05 55 26 20 68 "</f>
        <v xml:space="preserve">05 55 26 20 68 </v>
      </c>
      <c r="L3127" s="1">
        <v>21763</v>
      </c>
      <c r="M3127" t="str">
        <f t="shared" si="434"/>
        <v>124</v>
      </c>
      <c r="N3127" t="str">
        <f t="shared" si="435"/>
        <v>Centre de Santé</v>
      </c>
      <c r="O3127" t="str">
        <f>"40"</f>
        <v>40</v>
      </c>
      <c r="P3127" t="str">
        <f>"Régime Général de Sécurité Sociale"</f>
        <v>Régime Général de Sécurité Sociale</v>
      </c>
      <c r="Q3127" t="str">
        <f t="shared" si="439"/>
        <v>36</v>
      </c>
      <c r="R3127" t="str">
        <f t="shared" si="440"/>
        <v>Tarifs conventionnels assurance maladie</v>
      </c>
      <c r="U3127" t="str">
        <f>"190001644"</f>
        <v>190001644</v>
      </c>
    </row>
    <row r="3128" spans="1:21" x14ac:dyDescent="0.3">
      <c r="A3128" t="str">
        <f>"720004662"</f>
        <v>720004662</v>
      </c>
      <c r="B3128" t="str">
        <f>"844 881 417 01124"</f>
        <v>844 881 417 01124</v>
      </c>
      <c r="D3128" t="str">
        <f>"CENTRE DE SANTE DENTAIRE"</f>
        <v>CENTRE DE SANTE DENTAIRE</v>
      </c>
      <c r="F3128" t="str">
        <f>"224 AVENUE JEAN JAURES"</f>
        <v>224 AVENUE JEAN JAURES</v>
      </c>
      <c r="H3128" t="str">
        <f>"72100"</f>
        <v>72100</v>
      </c>
      <c r="I3128" t="str">
        <f>"LE MANS"</f>
        <v>LE MANS</v>
      </c>
      <c r="J3128" t="str">
        <f>"02 43 84 32 26 "</f>
        <v xml:space="preserve">02 43 84 32 26 </v>
      </c>
      <c r="L3128" s="1">
        <v>21578</v>
      </c>
      <c r="M3128" t="str">
        <f t="shared" si="434"/>
        <v>124</v>
      </c>
      <c r="N3128" t="str">
        <f t="shared" si="435"/>
        <v>Centre de Santé</v>
      </c>
      <c r="O3128" t="str">
        <f>"47"</f>
        <v>47</v>
      </c>
      <c r="P3128" t="str">
        <f>"Société Mutualiste"</f>
        <v>Société Mutualiste</v>
      </c>
      <c r="Q3128" t="str">
        <f t="shared" si="439"/>
        <v>36</v>
      </c>
      <c r="R3128" t="str">
        <f t="shared" si="440"/>
        <v>Tarifs conventionnels assurance maladie</v>
      </c>
      <c r="U3128" t="str">
        <f>"850028085"</f>
        <v>850028085</v>
      </c>
    </row>
    <row r="3129" spans="1:21" x14ac:dyDescent="0.3">
      <c r="A3129" t="str">
        <f>"170791719"</f>
        <v>170791719</v>
      </c>
      <c r="B3129" t="str">
        <f>"343 334 744 00251"</f>
        <v>343 334 744 00251</v>
      </c>
      <c r="D3129" t="str">
        <f>"CENTRE DE SANTE - MUT F. 17"</f>
        <v>CENTRE DE SANTE - MUT F. 17</v>
      </c>
      <c r="F3129" t="str">
        <f>"161 AVENUE DENFERT-ROCHEREAU"</f>
        <v>161 AVENUE DENFERT-ROCHEREAU</v>
      </c>
      <c r="H3129" t="str">
        <f>"17000"</f>
        <v>17000</v>
      </c>
      <c r="I3129" t="str">
        <f>"LA ROCHELLE"</f>
        <v>LA ROCHELLE</v>
      </c>
      <c r="J3129" t="str">
        <f>"05 46 42 63 32 "</f>
        <v xml:space="preserve">05 46 42 63 32 </v>
      </c>
      <c r="K3129" t="str">
        <f>"05 46 34 76 54"</f>
        <v>05 46 34 76 54</v>
      </c>
      <c r="L3129" s="1">
        <v>21551</v>
      </c>
      <c r="M3129" t="str">
        <f t="shared" si="434"/>
        <v>124</v>
      </c>
      <c r="N3129" t="str">
        <f t="shared" si="435"/>
        <v>Centre de Santé</v>
      </c>
      <c r="O3129" t="str">
        <f>"47"</f>
        <v>47</v>
      </c>
      <c r="P3129" t="str">
        <f>"Société Mutualiste"</f>
        <v>Société Mutualiste</v>
      </c>
      <c r="Q3129" t="str">
        <f t="shared" si="439"/>
        <v>36</v>
      </c>
      <c r="R3129" t="str">
        <f t="shared" si="440"/>
        <v>Tarifs conventionnels assurance maladie</v>
      </c>
      <c r="U3129" t="str">
        <f>"170020432"</f>
        <v>170020432</v>
      </c>
    </row>
    <row r="3130" spans="1:21" x14ac:dyDescent="0.3">
      <c r="A3130" t="str">
        <f>"540008729"</f>
        <v>540008729</v>
      </c>
      <c r="B3130" t="str">
        <f>"477 901 714 00030"</f>
        <v>477 901 714 00030</v>
      </c>
      <c r="D3130" t="str">
        <f>"CENTRE DE SANTE MGEN DE NANCY"</f>
        <v>CENTRE DE SANTE MGEN DE NANCY</v>
      </c>
      <c r="F3130" t="str">
        <f>"6 RUE DESILLES"</f>
        <v>6 RUE DESILLES</v>
      </c>
      <c r="G3130" t="str">
        <f>"BP 70396"</f>
        <v>BP 70396</v>
      </c>
      <c r="H3130" t="str">
        <f>"54007"</f>
        <v>54007</v>
      </c>
      <c r="I3130" t="str">
        <f>"NANCY CEDEX"</f>
        <v>NANCY CEDEX</v>
      </c>
      <c r="J3130" t="str">
        <f>"03 83 17 76 00 "</f>
        <v xml:space="preserve">03 83 17 76 00 </v>
      </c>
      <c r="K3130" t="str">
        <f>"03 83 17 76 09"</f>
        <v>03 83 17 76 09</v>
      </c>
      <c r="L3130" s="1">
        <v>21551</v>
      </c>
      <c r="M3130" t="str">
        <f t="shared" si="434"/>
        <v>124</v>
      </c>
      <c r="N3130" t="str">
        <f t="shared" si="435"/>
        <v>Centre de Santé</v>
      </c>
      <c r="O3130" t="str">
        <f>"47"</f>
        <v>47</v>
      </c>
      <c r="P3130" t="str">
        <f>"Société Mutualiste"</f>
        <v>Société Mutualiste</v>
      </c>
      <c r="Q3130" t="str">
        <f t="shared" si="439"/>
        <v>36</v>
      </c>
      <c r="R3130" t="str">
        <f t="shared" si="440"/>
        <v>Tarifs conventionnels assurance maladie</v>
      </c>
      <c r="U3130" t="str">
        <f>"750008658"</f>
        <v>750008658</v>
      </c>
    </row>
    <row r="3131" spans="1:21" x14ac:dyDescent="0.3">
      <c r="A3131" t="str">
        <f>"720004282"</f>
        <v>720004282</v>
      </c>
      <c r="B3131" t="str">
        <f>"786 114 280 00021"</f>
        <v>786 114 280 00021</v>
      </c>
      <c r="D3131" t="str">
        <f>"CSI SOLESMES"</f>
        <v>CSI SOLESMES</v>
      </c>
      <c r="F3131" t="str">
        <f>"1 RUE JULES ALAIN"</f>
        <v>1 RUE JULES ALAIN</v>
      </c>
      <c r="H3131" t="str">
        <f>"72300"</f>
        <v>72300</v>
      </c>
      <c r="I3131" t="str">
        <f>"SOLESMES"</f>
        <v>SOLESMES</v>
      </c>
      <c r="J3131" t="str">
        <f>"02 43 95 45 40 "</f>
        <v xml:space="preserve">02 43 95 45 40 </v>
      </c>
      <c r="L3131" s="1">
        <v>21551</v>
      </c>
      <c r="M3131" t="str">
        <f t="shared" si="434"/>
        <v>124</v>
      </c>
      <c r="N3131" t="str">
        <f t="shared" si="435"/>
        <v>Centre de Santé</v>
      </c>
      <c r="O3131" t="str">
        <f>"64"</f>
        <v>64</v>
      </c>
      <c r="P3131" t="str">
        <f>"Congrégation"</f>
        <v>Congrégation</v>
      </c>
      <c r="Q3131" t="str">
        <f t="shared" si="439"/>
        <v>36</v>
      </c>
      <c r="R3131" t="str">
        <f t="shared" si="440"/>
        <v>Tarifs conventionnels assurance maladie</v>
      </c>
      <c r="U3131" t="str">
        <f>"720001411"</f>
        <v>720001411</v>
      </c>
    </row>
    <row r="3132" spans="1:21" x14ac:dyDescent="0.3">
      <c r="A3132" t="str">
        <f>"670781798"</f>
        <v>670781798</v>
      </c>
      <c r="B3132" t="str">
        <f>"778 743 187 00024"</f>
        <v>778 743 187 00024</v>
      </c>
      <c r="D3132" t="str">
        <f>"CTRE SOINS INF. DIEMERINGEN"</f>
        <v>CTRE SOINS INF. DIEMERINGEN</v>
      </c>
      <c r="F3132" t="str">
        <f>"13 RUE DES REMPARTS"</f>
        <v>13 RUE DES REMPARTS</v>
      </c>
      <c r="H3132" t="str">
        <f>"67430"</f>
        <v>67430</v>
      </c>
      <c r="I3132" t="str">
        <f>"DIEMERINGEN"</f>
        <v>DIEMERINGEN</v>
      </c>
      <c r="J3132" t="str">
        <f>"03 88 00 41 25 "</f>
        <v xml:space="preserve">03 88 00 41 25 </v>
      </c>
      <c r="L3132" s="1">
        <v>21501</v>
      </c>
      <c r="M3132" t="str">
        <f t="shared" si="434"/>
        <v>124</v>
      </c>
      <c r="N3132" t="str">
        <f t="shared" si="435"/>
        <v>Centre de Santé</v>
      </c>
      <c r="O3132" t="str">
        <f>"62"</f>
        <v>62</v>
      </c>
      <c r="P3132" t="str">
        <f>"Association de Droit Local"</f>
        <v>Association de Droit Local</v>
      </c>
      <c r="Q3132" t="str">
        <f t="shared" si="439"/>
        <v>36</v>
      </c>
      <c r="R3132" t="str">
        <f t="shared" si="440"/>
        <v>Tarifs conventionnels assurance maladie</v>
      </c>
      <c r="U3132" t="str">
        <f>"670792423"</f>
        <v>670792423</v>
      </c>
    </row>
    <row r="3133" spans="1:21" x14ac:dyDescent="0.3">
      <c r="A3133" t="str">
        <f>"550002877"</f>
        <v>550002877</v>
      </c>
      <c r="B3133" t="str">
        <f>"783 382 328 00038"</f>
        <v>783 382 328 00038</v>
      </c>
      <c r="D3133" t="str">
        <f>"CABINET DENTAIRE DE LA CPAM"</f>
        <v>CABINET DENTAIRE DE LA CPAM</v>
      </c>
      <c r="F3133" t="str">
        <f>"1 RUE DE POLVAL"</f>
        <v>1 RUE DE POLVAL</v>
      </c>
      <c r="H3133" t="str">
        <f>"55000"</f>
        <v>55000</v>
      </c>
      <c r="I3133" t="str">
        <f>"BAR LE DUC"</f>
        <v>BAR LE DUC</v>
      </c>
      <c r="J3133" t="str">
        <f>"03 29 79 89 04 "</f>
        <v xml:space="preserve">03 29 79 89 04 </v>
      </c>
      <c r="K3133" t="str">
        <f>"03 29 79 66 76"</f>
        <v>03 29 79 66 76</v>
      </c>
      <c r="L3133" s="1">
        <v>21429</v>
      </c>
      <c r="M3133" t="str">
        <f t="shared" si="434"/>
        <v>124</v>
      </c>
      <c r="N3133" t="str">
        <f t="shared" si="435"/>
        <v>Centre de Santé</v>
      </c>
      <c r="O3133" t="str">
        <f>"40"</f>
        <v>40</v>
      </c>
      <c r="P3133" t="str">
        <f>"Régime Général de Sécurité Sociale"</f>
        <v>Régime Général de Sécurité Sociale</v>
      </c>
      <c r="Q3133" t="str">
        <f t="shared" si="439"/>
        <v>36</v>
      </c>
      <c r="R3133" t="str">
        <f t="shared" si="440"/>
        <v>Tarifs conventionnels assurance maladie</v>
      </c>
      <c r="U3133" t="str">
        <f>"550004758"</f>
        <v>550004758</v>
      </c>
    </row>
    <row r="3134" spans="1:21" x14ac:dyDescent="0.3">
      <c r="A3134" t="str">
        <f>"920801172"</f>
        <v>920801172</v>
      </c>
      <c r="B3134" t="str">
        <f>"775 722 655 00013"</f>
        <v>775 722 655 00013</v>
      </c>
      <c r="D3134" t="str">
        <f>"CDS DENTAIRE BOULOGNE"</f>
        <v>CDS DENTAIRE BOULOGNE</v>
      </c>
      <c r="F3134" t="str">
        <f>"9 RUE DE CLAMART"</f>
        <v>9 RUE DE CLAMART</v>
      </c>
      <c r="H3134" t="str">
        <f>"92100"</f>
        <v>92100</v>
      </c>
      <c r="I3134" t="str">
        <f>"BOULOGNE BILLANCOURT"</f>
        <v>BOULOGNE BILLANCOURT</v>
      </c>
      <c r="J3134" t="str">
        <f>"01 46 94 29 50 "</f>
        <v xml:space="preserve">01 46 94 29 50 </v>
      </c>
      <c r="K3134" t="str">
        <f>"01 46 94 29 78"</f>
        <v>01 46 94 29 78</v>
      </c>
      <c r="L3134" s="1">
        <v>21337</v>
      </c>
      <c r="M3134" t="str">
        <f t="shared" si="434"/>
        <v>124</v>
      </c>
      <c r="N3134" t="str">
        <f t="shared" si="435"/>
        <v>Centre de Santé</v>
      </c>
      <c r="O3134" t="str">
        <f>"47"</f>
        <v>47</v>
      </c>
      <c r="P3134" t="str">
        <f>"Société Mutualiste"</f>
        <v>Société Mutualiste</v>
      </c>
      <c r="Q3134" t="str">
        <f t="shared" si="439"/>
        <v>36</v>
      </c>
      <c r="R3134" t="str">
        <f t="shared" si="440"/>
        <v>Tarifs conventionnels assurance maladie</v>
      </c>
      <c r="U3134" t="str">
        <f>"920001807"</f>
        <v>920001807</v>
      </c>
    </row>
    <row r="3135" spans="1:21" x14ac:dyDescent="0.3">
      <c r="A3135" t="str">
        <f>"210780771"</f>
        <v>210780771</v>
      </c>
      <c r="B3135" t="str">
        <f>"778 213 967 00095"</f>
        <v>778 213 967 00095</v>
      </c>
      <c r="D3135" t="str">
        <f>"CENTRE DE SOINS INFIRMIERS GRESILLES"</f>
        <v>CENTRE DE SOINS INFIRMIERS GRESILLES</v>
      </c>
      <c r="F3135" t="str">
        <f>"17 BIS AVENUE CHAMPOLLION"</f>
        <v>17 BIS AVENUE CHAMPOLLION</v>
      </c>
      <c r="H3135" t="str">
        <f>"21000"</f>
        <v>21000</v>
      </c>
      <c r="I3135" t="str">
        <f>"DIJON"</f>
        <v>DIJON</v>
      </c>
      <c r="J3135" t="str">
        <f>"03 80 71 64 79 "</f>
        <v xml:space="preserve">03 80 71 64 79 </v>
      </c>
      <c r="L3135" s="1">
        <v>21279</v>
      </c>
      <c r="M3135" t="str">
        <f t="shared" si="434"/>
        <v>124</v>
      </c>
      <c r="N3135" t="str">
        <f t="shared" si="435"/>
        <v>Centre de Santé</v>
      </c>
      <c r="O3135" t="str">
        <f>"60"</f>
        <v>60</v>
      </c>
      <c r="P3135" t="str">
        <f>"Association Loi 1901 non Reconnue d'Utilité Publique"</f>
        <v>Association Loi 1901 non Reconnue d'Utilité Publique</v>
      </c>
      <c r="Q3135" t="str">
        <f t="shared" si="439"/>
        <v>36</v>
      </c>
      <c r="R3135" t="str">
        <f t="shared" si="440"/>
        <v>Tarifs conventionnels assurance maladie</v>
      </c>
      <c r="U3135" t="str">
        <f>"210000766"</f>
        <v>210000766</v>
      </c>
    </row>
    <row r="3136" spans="1:21" x14ac:dyDescent="0.3">
      <c r="A3136" t="str">
        <f>"580780542"</f>
        <v>580780542</v>
      </c>
      <c r="B3136" t="str">
        <f>"775 672 272 15643"</f>
        <v>775 672 272 15643</v>
      </c>
      <c r="D3136" t="str">
        <f>"CENTRE DE SOINS INFIRMIERS CORBIGNY"</f>
        <v>CENTRE DE SOINS INFIRMIERS CORBIGNY</v>
      </c>
      <c r="E3136" t="str">
        <f>"CENTRE MEDICO SOCIAL"</f>
        <v>CENTRE MEDICO SOCIAL</v>
      </c>
      <c r="F3136" t="str">
        <f>"ROUTE DE VEZELAY"</f>
        <v>ROUTE DE VEZELAY</v>
      </c>
      <c r="H3136" t="str">
        <f>"58800"</f>
        <v>58800</v>
      </c>
      <c r="I3136" t="str">
        <f>"CORBIGNY"</f>
        <v>CORBIGNY</v>
      </c>
      <c r="J3136" t="str">
        <f>"03 86 20 04 27 "</f>
        <v xml:space="preserve">03 86 20 04 27 </v>
      </c>
      <c r="K3136" t="str">
        <f>"03 86 20 00 78"</f>
        <v>03 86 20 00 78</v>
      </c>
      <c r="L3136" s="1">
        <v>21279</v>
      </c>
      <c r="M3136" t="str">
        <f t="shared" si="434"/>
        <v>124</v>
      </c>
      <c r="N3136" t="str">
        <f t="shared" si="435"/>
        <v>Centre de Santé</v>
      </c>
      <c r="O3136" t="str">
        <f>"61"</f>
        <v>61</v>
      </c>
      <c r="P3136" t="str">
        <f>"Association Loi 1901 Reconnue d'Utilité Publique"</f>
        <v>Association Loi 1901 Reconnue d'Utilité Publique</v>
      </c>
      <c r="Q3136" t="str">
        <f t="shared" si="439"/>
        <v>36</v>
      </c>
      <c r="R3136" t="str">
        <f t="shared" si="440"/>
        <v>Tarifs conventionnels assurance maladie</v>
      </c>
      <c r="U3136" t="str">
        <f>"750721334"</f>
        <v>750721334</v>
      </c>
    </row>
    <row r="3137" spans="1:21" x14ac:dyDescent="0.3">
      <c r="A3137" t="str">
        <f>"720002351"</f>
        <v>720002351</v>
      </c>
      <c r="B3137" t="str">
        <f>"844 881 417 00910"</f>
        <v>844 881 417 00910</v>
      </c>
      <c r="D3137" t="str">
        <f>"CENTRE DE SANTE DENTAIRE"</f>
        <v>CENTRE DE SANTE DENTAIRE</v>
      </c>
      <c r="F3137" t="str">
        <f>"22 BOULEVARD RENE LEVASSEUR"</f>
        <v>22 BOULEVARD RENE LEVASSEUR</v>
      </c>
      <c r="H3137" t="str">
        <f>"72000"</f>
        <v>72000</v>
      </c>
      <c r="I3137" t="str">
        <f>"LE MANS"</f>
        <v>LE MANS</v>
      </c>
      <c r="J3137" t="str">
        <f>"02 43 28 05 93 "</f>
        <v xml:space="preserve">02 43 28 05 93 </v>
      </c>
      <c r="L3137" s="1">
        <v>21270</v>
      </c>
      <c r="M3137" t="str">
        <f t="shared" si="434"/>
        <v>124</v>
      </c>
      <c r="N3137" t="str">
        <f t="shared" si="435"/>
        <v>Centre de Santé</v>
      </c>
      <c r="O3137" t="str">
        <f>"47"</f>
        <v>47</v>
      </c>
      <c r="P3137" t="str">
        <f>"Société Mutualiste"</f>
        <v>Société Mutualiste</v>
      </c>
      <c r="Q3137" t="str">
        <f t="shared" si="439"/>
        <v>36</v>
      </c>
      <c r="R3137" t="str">
        <f t="shared" si="440"/>
        <v>Tarifs conventionnels assurance maladie</v>
      </c>
      <c r="U3137" t="str">
        <f>"850028085"</f>
        <v>850028085</v>
      </c>
    </row>
    <row r="3138" spans="1:21" x14ac:dyDescent="0.3">
      <c r="A3138" t="str">
        <f>"570000851"</f>
        <v>570000851</v>
      </c>
      <c r="B3138" t="str">
        <f>"515 260 883 00092"</f>
        <v>515 260 883 00092</v>
      </c>
      <c r="D3138" t="str">
        <f>"CLINIQUE DENTAIRE CPAM DE MOSELLE"</f>
        <v>CLINIQUE DENTAIRE CPAM DE MOSELLE</v>
      </c>
      <c r="F3138" t="str">
        <f>"2 ALLEE BEL AIR"</f>
        <v>2 ALLEE BEL AIR</v>
      </c>
      <c r="H3138" t="str">
        <f>"57100"</f>
        <v>57100</v>
      </c>
      <c r="I3138" t="str">
        <f>"THIONVILLE"</f>
        <v>THIONVILLE</v>
      </c>
      <c r="J3138" t="str">
        <f>"03 82 55 94 90 "</f>
        <v xml:space="preserve">03 82 55 94 90 </v>
      </c>
      <c r="L3138" s="1">
        <v>21217</v>
      </c>
      <c r="M3138" t="str">
        <f t="shared" ref="M3138:M3201" si="441">"124"</f>
        <v>124</v>
      </c>
      <c r="N3138" t="str">
        <f t="shared" ref="N3138:N3201" si="442">"Centre de Santé"</f>
        <v>Centre de Santé</v>
      </c>
      <c r="O3138" t="str">
        <f>"40"</f>
        <v>40</v>
      </c>
      <c r="P3138" t="str">
        <f>"Régime Général de Sécurité Sociale"</f>
        <v>Régime Général de Sécurité Sociale</v>
      </c>
      <c r="Q3138" t="str">
        <f t="shared" si="439"/>
        <v>36</v>
      </c>
      <c r="R3138" t="str">
        <f t="shared" si="440"/>
        <v>Tarifs conventionnels assurance maladie</v>
      </c>
      <c r="U3138" t="str">
        <f>"570010439"</f>
        <v>570010439</v>
      </c>
    </row>
    <row r="3139" spans="1:21" x14ac:dyDescent="0.3">
      <c r="A3139" t="str">
        <f>"540000346"</f>
        <v>540000346</v>
      </c>
      <c r="B3139" t="str">
        <f>"775 615 537 00302"</f>
        <v>775 615 537 00302</v>
      </c>
      <c r="D3139" t="str">
        <f>"CENTRE DE SANTE DENTAIRE UTML"</f>
        <v>CENTRE DE SANTE DENTAIRE UTML</v>
      </c>
      <c r="E3139" t="str">
        <f>"ESPACE STANISLAS"</f>
        <v>ESPACE STANISLAS</v>
      </c>
      <c r="F3139" t="str">
        <f>"6 BOULEVARD DU 21ÈME REGIMENT D'AVIATIO"</f>
        <v>6 BOULEVARD DU 21ÈME REGIMENT D'AVIATIO</v>
      </c>
      <c r="H3139" t="str">
        <f>"54000"</f>
        <v>54000</v>
      </c>
      <c r="I3139" t="str">
        <f>"NANCY"</f>
        <v>NANCY</v>
      </c>
      <c r="J3139" t="str">
        <f>"03 83 32 13 85 "</f>
        <v xml:space="preserve">03 83 32 13 85 </v>
      </c>
      <c r="K3139" t="str">
        <f>"03 83 32 09 55"</f>
        <v>03 83 32 09 55</v>
      </c>
      <c r="L3139" s="1">
        <v>21186</v>
      </c>
      <c r="M3139" t="str">
        <f t="shared" si="441"/>
        <v>124</v>
      </c>
      <c r="N3139" t="str">
        <f t="shared" si="442"/>
        <v>Centre de Santé</v>
      </c>
      <c r="O3139" t="str">
        <f>"47"</f>
        <v>47</v>
      </c>
      <c r="P3139" t="str">
        <f>"Société Mutualiste"</f>
        <v>Société Mutualiste</v>
      </c>
      <c r="Q3139" t="str">
        <f t="shared" si="439"/>
        <v>36</v>
      </c>
      <c r="R3139" t="str">
        <f t="shared" si="440"/>
        <v>Tarifs conventionnels assurance maladie</v>
      </c>
      <c r="U3139" t="str">
        <f>"540013042"</f>
        <v>540013042</v>
      </c>
    </row>
    <row r="3140" spans="1:21" x14ac:dyDescent="0.3">
      <c r="A3140" t="str">
        <f>"930010624"</f>
        <v>930010624</v>
      </c>
      <c r="B3140" t="str">
        <f>"219 300 704 00257"</f>
        <v>219 300 704 00257</v>
      </c>
      <c r="D3140" t="str">
        <f>"CDS MUNICIPAL HENRI BARBUSSE"</f>
        <v>CDS MUNICIPAL HENRI BARBUSSE</v>
      </c>
      <c r="F3140" t="str">
        <f>"62 AVENUE GABRIEL PERI"</f>
        <v>62 AVENUE GABRIEL PERI</v>
      </c>
      <c r="H3140" t="str">
        <f>"93582"</f>
        <v>93582</v>
      </c>
      <c r="I3140" t="str">
        <f>"ST OUEN CEDEX"</f>
        <v>ST OUEN CEDEX</v>
      </c>
      <c r="J3140" t="str">
        <f>"01 49 45 68 90 "</f>
        <v xml:space="preserve">01 49 45 68 90 </v>
      </c>
      <c r="K3140" t="str">
        <f>"01 49 45 69 90"</f>
        <v>01 49 45 69 90</v>
      </c>
      <c r="L3140" s="1">
        <v>21156</v>
      </c>
      <c r="M3140" t="str">
        <f t="shared" si="441"/>
        <v>124</v>
      </c>
      <c r="N3140" t="str">
        <f t="shared" si="442"/>
        <v>Centre de Santé</v>
      </c>
      <c r="O3140" t="str">
        <f>"03"</f>
        <v>03</v>
      </c>
      <c r="P3140" t="str">
        <f>"Commune"</f>
        <v>Commune</v>
      </c>
      <c r="Q3140" t="str">
        <f t="shared" si="439"/>
        <v>36</v>
      </c>
      <c r="R3140" t="str">
        <f t="shared" si="440"/>
        <v>Tarifs conventionnels assurance maladie</v>
      </c>
      <c r="U3140" t="str">
        <f>"930813167"</f>
        <v>930813167</v>
      </c>
    </row>
    <row r="3141" spans="1:21" x14ac:dyDescent="0.3">
      <c r="A3141" t="str">
        <f>"750020083"</f>
        <v>750020083</v>
      </c>
      <c r="B3141" t="str">
        <f>"323 841 353 00077"</f>
        <v>323 841 353 00077</v>
      </c>
      <c r="D3141" t="str">
        <f>"CDS CPAM PARIS"</f>
        <v>CDS CPAM PARIS</v>
      </c>
      <c r="F3141" t="str">
        <f>"106 RUE DE REAUMUR"</f>
        <v>106 RUE DE REAUMUR</v>
      </c>
      <c r="H3141" t="str">
        <f>"75002"</f>
        <v>75002</v>
      </c>
      <c r="I3141" t="str">
        <f>"PARIS"</f>
        <v>PARIS</v>
      </c>
      <c r="J3141" t="str">
        <f>"01 55 80 56 60 "</f>
        <v xml:space="preserve">01 55 80 56 60 </v>
      </c>
      <c r="L3141" s="1">
        <v>21096</v>
      </c>
      <c r="M3141" t="str">
        <f t="shared" si="441"/>
        <v>124</v>
      </c>
      <c r="N3141" t="str">
        <f t="shared" si="442"/>
        <v>Centre de Santé</v>
      </c>
      <c r="O3141" t="str">
        <f>"40"</f>
        <v>40</v>
      </c>
      <c r="P3141" t="str">
        <f>"Régime Général de Sécurité Sociale"</f>
        <v>Régime Général de Sécurité Sociale</v>
      </c>
      <c r="Q3141" t="str">
        <f t="shared" si="439"/>
        <v>36</v>
      </c>
      <c r="R3141" t="str">
        <f t="shared" si="440"/>
        <v>Tarifs conventionnels assurance maladie</v>
      </c>
      <c r="U3141" t="str">
        <f>"750720856"</f>
        <v>750720856</v>
      </c>
    </row>
    <row r="3142" spans="1:21" x14ac:dyDescent="0.3">
      <c r="A3142" t="str">
        <f>"190002295"</f>
        <v>190002295</v>
      </c>
      <c r="B3142" t="str">
        <f>"777 966 870 00068"</f>
        <v>777 966 870 00068</v>
      </c>
      <c r="D3142" t="str">
        <f>"CABINET DENTAIRE"</f>
        <v>CABINET DENTAIRE</v>
      </c>
      <c r="F3142" t="str">
        <f>"34 AVENUE VICTOR HUGO"</f>
        <v>34 AVENUE VICTOR HUGO</v>
      </c>
      <c r="H3142" t="str">
        <f>"19000"</f>
        <v>19000</v>
      </c>
      <c r="I3142" t="str">
        <f>"TULLE"</f>
        <v>TULLE</v>
      </c>
      <c r="J3142" t="str">
        <f>"05 55 26 57 22 "</f>
        <v xml:space="preserve">05 55 26 57 22 </v>
      </c>
      <c r="L3142" s="1">
        <v>21025</v>
      </c>
      <c r="M3142" t="str">
        <f t="shared" si="441"/>
        <v>124</v>
      </c>
      <c r="N3142" t="str">
        <f t="shared" si="442"/>
        <v>Centre de Santé</v>
      </c>
      <c r="O3142" t="str">
        <f>"40"</f>
        <v>40</v>
      </c>
      <c r="P3142" t="str">
        <f>"Régime Général de Sécurité Sociale"</f>
        <v>Régime Général de Sécurité Sociale</v>
      </c>
      <c r="Q3142" t="str">
        <f t="shared" si="439"/>
        <v>36</v>
      </c>
      <c r="R3142" t="str">
        <f t="shared" si="440"/>
        <v>Tarifs conventionnels assurance maladie</v>
      </c>
      <c r="U3142" t="str">
        <f>"190001644"</f>
        <v>190001644</v>
      </c>
    </row>
    <row r="3143" spans="1:21" x14ac:dyDescent="0.3">
      <c r="A3143" t="str">
        <f>"590785697"</f>
        <v>590785697</v>
      </c>
      <c r="B3143" t="str">
        <f>"303 359 061 00015"</f>
        <v>303 359 061 00015</v>
      </c>
      <c r="D3143" t="str">
        <f>"C.S.I. STE ELISABETH"</f>
        <v>C.S.I. STE ELISABETH</v>
      </c>
      <c r="F3143" t="str">
        <f>"2 RUE DE FESNY"</f>
        <v>2 RUE DE FESNY</v>
      </c>
      <c r="H3143" t="str">
        <f>"59360"</f>
        <v>59360</v>
      </c>
      <c r="I3143" t="str">
        <f>"LE CATEAU CAMBRESIS"</f>
        <v>LE CATEAU CAMBRESIS</v>
      </c>
      <c r="J3143" t="str">
        <f>"03 27 84 02 12 "</f>
        <v xml:space="preserve">03 27 84 02 12 </v>
      </c>
      <c r="L3143" s="1">
        <v>20953</v>
      </c>
      <c r="M3143" t="str">
        <f t="shared" si="441"/>
        <v>124</v>
      </c>
      <c r="N3143" t="str">
        <f t="shared" si="442"/>
        <v>Centre de Santé</v>
      </c>
      <c r="O3143" t="str">
        <f>"60"</f>
        <v>60</v>
      </c>
      <c r="P3143" t="str">
        <f>"Association Loi 1901 non Reconnue d'Utilité Publique"</f>
        <v>Association Loi 1901 non Reconnue d'Utilité Publique</v>
      </c>
      <c r="Q3143" t="str">
        <f t="shared" si="439"/>
        <v>36</v>
      </c>
      <c r="R3143" t="str">
        <f t="shared" si="440"/>
        <v>Tarifs conventionnels assurance maladie</v>
      </c>
      <c r="U3143" t="str">
        <f>"590808846"</f>
        <v>590808846</v>
      </c>
    </row>
    <row r="3144" spans="1:21" x14ac:dyDescent="0.3">
      <c r="A3144" t="str">
        <f>"250005493"</f>
        <v>250005493</v>
      </c>
      <c r="B3144" t="str">
        <f>"821 186 855 00028"</f>
        <v>821 186 855 00028</v>
      </c>
      <c r="D3144" t="str">
        <f>"CENTRE SOINS INFIRMIERS  VALENTIGNEY"</f>
        <v>CENTRE SOINS INFIRMIERS  VALENTIGNEY</v>
      </c>
      <c r="F3144" t="str">
        <f>"10 RUE VIETTE"</f>
        <v>10 RUE VIETTE</v>
      </c>
      <c r="H3144" t="str">
        <f>"25700"</f>
        <v>25700</v>
      </c>
      <c r="I3144" t="str">
        <f>"VALENTIGNEY"</f>
        <v>VALENTIGNEY</v>
      </c>
      <c r="J3144" t="str">
        <f>"03 81 37 94 18 "</f>
        <v xml:space="preserve">03 81 37 94 18 </v>
      </c>
      <c r="K3144" t="str">
        <f>"03 81 37 07 21"</f>
        <v>03 81 37 07 21</v>
      </c>
      <c r="L3144" s="1">
        <v>20895</v>
      </c>
      <c r="M3144" t="str">
        <f t="shared" si="441"/>
        <v>124</v>
      </c>
      <c r="N3144" t="str">
        <f t="shared" si="442"/>
        <v>Centre de Santé</v>
      </c>
      <c r="O3144" t="str">
        <f>"60"</f>
        <v>60</v>
      </c>
      <c r="P3144" t="str">
        <f>"Association Loi 1901 non Reconnue d'Utilité Publique"</f>
        <v>Association Loi 1901 non Reconnue d'Utilité Publique</v>
      </c>
      <c r="Q3144" t="str">
        <f t="shared" si="439"/>
        <v>36</v>
      </c>
      <c r="R3144" t="str">
        <f t="shared" si="440"/>
        <v>Tarifs conventionnels assurance maladie</v>
      </c>
      <c r="U3144" t="str">
        <f>"250021334"</f>
        <v>250021334</v>
      </c>
    </row>
    <row r="3145" spans="1:21" x14ac:dyDescent="0.3">
      <c r="A3145" t="str">
        <f>"370002404"</f>
        <v>370002404</v>
      </c>
      <c r="B3145" t="str">
        <f>"321 212 029 00011"</f>
        <v>321 212 029 00011</v>
      </c>
      <c r="D3145" t="str">
        <f>"CTRE SOINS INF.'SAINT VINCENT DE PAUL'"</f>
        <v>CTRE SOINS INF.'SAINT VINCENT DE PAUL'</v>
      </c>
      <c r="F3145" t="str">
        <f>"53 RUE DE LA RABATTERIE"</f>
        <v>53 RUE DE LA RABATTERIE</v>
      </c>
      <c r="H3145" t="str">
        <f>"37700"</f>
        <v>37700</v>
      </c>
      <c r="I3145" t="str">
        <f>"ST PIERRE DES CORPS"</f>
        <v>ST PIERRE DES CORPS</v>
      </c>
      <c r="J3145" t="str">
        <f>"02 47 44 23 04 "</f>
        <v xml:space="preserve">02 47 44 23 04 </v>
      </c>
      <c r="K3145" t="str">
        <f>"02 47 44 23 04"</f>
        <v>02 47 44 23 04</v>
      </c>
      <c r="L3145" s="1">
        <v>20699</v>
      </c>
      <c r="M3145" t="str">
        <f t="shared" si="441"/>
        <v>124</v>
      </c>
      <c r="N3145" t="str">
        <f t="shared" si="442"/>
        <v>Centre de Santé</v>
      </c>
      <c r="O3145" t="str">
        <f>"60"</f>
        <v>60</v>
      </c>
      <c r="P3145" t="str">
        <f>"Association Loi 1901 non Reconnue d'Utilité Publique"</f>
        <v>Association Loi 1901 non Reconnue d'Utilité Publique</v>
      </c>
      <c r="Q3145" t="str">
        <f t="shared" si="439"/>
        <v>36</v>
      </c>
      <c r="R3145" t="str">
        <f t="shared" si="440"/>
        <v>Tarifs conventionnels assurance maladie</v>
      </c>
      <c r="U3145" t="str">
        <f>"370003469"</f>
        <v>370003469</v>
      </c>
    </row>
    <row r="3146" spans="1:21" x14ac:dyDescent="0.3">
      <c r="A3146" t="str">
        <f>"140001140"</f>
        <v>140001140</v>
      </c>
      <c r="B3146" t="str">
        <f>"794 994 277 00125"</f>
        <v>794 994 277 00125</v>
      </c>
      <c r="D3146" t="str">
        <f>"CENTRE DE SANTE DENTAIRE - CAEN"</f>
        <v>CENTRE DE SANTE DENTAIRE - CAEN</v>
      </c>
      <c r="F3146" t="str">
        <f>"16 AVENUE DU 6 JUIN"</f>
        <v>16 AVENUE DU 6 JUIN</v>
      </c>
      <c r="H3146" t="str">
        <f>"14000"</f>
        <v>14000</v>
      </c>
      <c r="I3146" t="str">
        <f>"CAEN"</f>
        <v>CAEN</v>
      </c>
      <c r="J3146" t="str">
        <f>"02 31 27 77 20 "</f>
        <v xml:space="preserve">02 31 27 77 20 </v>
      </c>
      <c r="L3146" s="1">
        <v>20676</v>
      </c>
      <c r="M3146" t="str">
        <f t="shared" si="441"/>
        <v>124</v>
      </c>
      <c r="N3146" t="str">
        <f t="shared" si="442"/>
        <v>Centre de Santé</v>
      </c>
      <c r="O3146" t="str">
        <f>"47"</f>
        <v>47</v>
      </c>
      <c r="P3146" t="str">
        <f>"Société Mutualiste"</f>
        <v>Société Mutualiste</v>
      </c>
      <c r="Q3146" t="str">
        <f t="shared" si="439"/>
        <v>36</v>
      </c>
      <c r="R3146" t="str">
        <f t="shared" si="440"/>
        <v>Tarifs conventionnels assurance maladie</v>
      </c>
      <c r="U3146" t="str">
        <f>"760000539"</f>
        <v>760000539</v>
      </c>
    </row>
    <row r="3147" spans="1:21" x14ac:dyDescent="0.3">
      <c r="A3147" t="str">
        <f>"900000316"</f>
        <v>900000316</v>
      </c>
      <c r="B3147" t="str">
        <f>"419 469 549 00044"</f>
        <v>419 469 549 00044</v>
      </c>
      <c r="D3147" t="str">
        <f>"CENTRE SOINS INFIRMIERS GIROMAGNY"</f>
        <v>CENTRE SOINS INFIRMIERS GIROMAGNY</v>
      </c>
      <c r="F3147" t="str">
        <f>"11 GRANDE RUE"</f>
        <v>11 GRANDE RUE</v>
      </c>
      <c r="H3147" t="str">
        <f>"90200"</f>
        <v>90200</v>
      </c>
      <c r="I3147" t="str">
        <f>"GIROMAGNY"</f>
        <v>GIROMAGNY</v>
      </c>
      <c r="J3147" t="str">
        <f>"03 84 29 36 98 "</f>
        <v xml:space="preserve">03 84 29 36 98 </v>
      </c>
      <c r="K3147" t="str">
        <f>"03 84 27 04 45"</f>
        <v>03 84 27 04 45</v>
      </c>
      <c r="L3147" s="1">
        <v>20523</v>
      </c>
      <c r="M3147" t="str">
        <f t="shared" si="441"/>
        <v>124</v>
      </c>
      <c r="N3147" t="str">
        <f t="shared" si="442"/>
        <v>Centre de Santé</v>
      </c>
      <c r="O3147" t="str">
        <f>"60"</f>
        <v>60</v>
      </c>
      <c r="P3147" t="str">
        <f>"Association Loi 1901 non Reconnue d'Utilité Publique"</f>
        <v>Association Loi 1901 non Reconnue d'Utilité Publique</v>
      </c>
      <c r="Q3147" t="str">
        <f t="shared" si="439"/>
        <v>36</v>
      </c>
      <c r="R3147" t="str">
        <f t="shared" si="440"/>
        <v>Tarifs conventionnels assurance maladie</v>
      </c>
      <c r="U3147" t="str">
        <f>"900002445"</f>
        <v>900002445</v>
      </c>
    </row>
    <row r="3148" spans="1:21" x14ac:dyDescent="0.3">
      <c r="A3148" t="str">
        <f>"910003169"</f>
        <v>910003169</v>
      </c>
      <c r="B3148" t="str">
        <f>"323 722 165 00061"</f>
        <v>323 722 165 00061</v>
      </c>
      <c r="D3148" t="str">
        <f>"CDS CLINIQUE DENTAIRE DE LA CPAM"</f>
        <v>CDS CLINIQUE DENTAIRE DE LA CPAM</v>
      </c>
      <c r="F3148" t="str">
        <f>"18 RUE DU GENERAL LECLERC"</f>
        <v>18 RUE DU GENERAL LECLERC</v>
      </c>
      <c r="H3148" t="str">
        <f>"91100"</f>
        <v>91100</v>
      </c>
      <c r="I3148" t="str">
        <f>"CORBEIL ESSONNES"</f>
        <v>CORBEIL ESSONNES</v>
      </c>
      <c r="J3148" t="str">
        <f>"01 60 88 86 96 "</f>
        <v xml:space="preserve">01 60 88 86 96 </v>
      </c>
      <c r="L3148" s="1">
        <v>20523</v>
      </c>
      <c r="M3148" t="str">
        <f t="shared" si="441"/>
        <v>124</v>
      </c>
      <c r="N3148" t="str">
        <f t="shared" si="442"/>
        <v>Centre de Santé</v>
      </c>
      <c r="O3148" t="str">
        <f>"40"</f>
        <v>40</v>
      </c>
      <c r="P3148" t="str">
        <f>"Régime Général de Sécurité Sociale"</f>
        <v>Régime Général de Sécurité Sociale</v>
      </c>
      <c r="Q3148" t="str">
        <f t="shared" si="439"/>
        <v>36</v>
      </c>
      <c r="R3148" t="str">
        <f t="shared" si="440"/>
        <v>Tarifs conventionnels assurance maladie</v>
      </c>
      <c r="U3148" t="str">
        <f>"910807890"</f>
        <v>910807890</v>
      </c>
    </row>
    <row r="3149" spans="1:21" x14ac:dyDescent="0.3">
      <c r="A3149" t="str">
        <f>"830208070"</f>
        <v>830208070</v>
      </c>
      <c r="B3149" t="str">
        <f>"512 611 781 00299"</f>
        <v>512 611 781 00299</v>
      </c>
      <c r="D3149" t="str">
        <f>"CDS DENTAIRE VYV 3 SUD-EST"</f>
        <v>CDS DENTAIRE VYV 3 SUD-EST</v>
      </c>
      <c r="F3149" t="str">
        <f>"RUE BERRIER FONTAINE"</f>
        <v>RUE BERRIER FONTAINE</v>
      </c>
      <c r="G3149" t="str">
        <f>"BP 1410"</f>
        <v>BP 1410</v>
      </c>
      <c r="H3149" t="str">
        <f>"83056"</f>
        <v>83056</v>
      </c>
      <c r="I3149" t="str">
        <f>"TOULON CEDEX"</f>
        <v>TOULON CEDEX</v>
      </c>
      <c r="J3149" t="str">
        <f>"04 94 18 52 62 "</f>
        <v xml:space="preserve">04 94 18 52 62 </v>
      </c>
      <c r="K3149" t="str">
        <f>"04 94 91 16 56"</f>
        <v>04 94 91 16 56</v>
      </c>
      <c r="L3149" s="1">
        <v>20465</v>
      </c>
      <c r="M3149" t="str">
        <f t="shared" si="441"/>
        <v>124</v>
      </c>
      <c r="N3149" t="str">
        <f t="shared" si="442"/>
        <v>Centre de Santé</v>
      </c>
      <c r="O3149" t="str">
        <f>"60"</f>
        <v>60</v>
      </c>
      <c r="P3149" t="str">
        <f>"Association Loi 1901 non Reconnue d'Utilité Publique"</f>
        <v>Association Loi 1901 non Reconnue d'Utilité Publique</v>
      </c>
      <c r="Q3149" t="str">
        <f t="shared" si="439"/>
        <v>36</v>
      </c>
      <c r="R3149" t="str">
        <f t="shared" si="440"/>
        <v>Tarifs conventionnels assurance maladie</v>
      </c>
      <c r="U3149" t="str">
        <f>"840019210"</f>
        <v>840019210</v>
      </c>
    </row>
    <row r="3150" spans="1:21" x14ac:dyDescent="0.3">
      <c r="A3150" t="str">
        <f>"350002820"</f>
        <v>350002820</v>
      </c>
      <c r="B3150" t="str">
        <f>"519 033 989 00111"</f>
        <v>519 033 989 00111</v>
      </c>
      <c r="D3150" t="str">
        <f>"CDS DENTAIRE MUTUALISTE FOUGERES"</f>
        <v>CDS DENTAIRE MUTUALISTE FOUGERES</v>
      </c>
      <c r="F3150" t="str">
        <f>"13 RUE LESUEUR"</f>
        <v>13 RUE LESUEUR</v>
      </c>
      <c r="H3150" t="str">
        <f>"35300"</f>
        <v>35300</v>
      </c>
      <c r="I3150" t="str">
        <f>"FOUGERES"</f>
        <v>FOUGERES</v>
      </c>
      <c r="J3150" t="str">
        <f>"02 99 94 30 25 "</f>
        <v xml:space="preserve">02 99 94 30 25 </v>
      </c>
      <c r="K3150" t="str">
        <f>"02 99 94 58 28"</f>
        <v>02 99 94 58 28</v>
      </c>
      <c r="L3150" s="1">
        <v>20455</v>
      </c>
      <c r="M3150" t="str">
        <f t="shared" si="441"/>
        <v>124</v>
      </c>
      <c r="N3150" t="str">
        <f t="shared" si="442"/>
        <v>Centre de Santé</v>
      </c>
      <c r="O3150" t="str">
        <f>"47"</f>
        <v>47</v>
      </c>
      <c r="P3150" t="str">
        <f>"Société Mutualiste"</f>
        <v>Société Mutualiste</v>
      </c>
      <c r="Q3150" t="str">
        <f t="shared" si="439"/>
        <v>36</v>
      </c>
      <c r="R3150" t="str">
        <f t="shared" si="440"/>
        <v>Tarifs conventionnels assurance maladie</v>
      </c>
      <c r="U3150" t="str">
        <f>"560030710"</f>
        <v>560030710</v>
      </c>
    </row>
    <row r="3151" spans="1:21" x14ac:dyDescent="0.3">
      <c r="A3151" t="str">
        <f>"520784273"</f>
        <v>520784273</v>
      </c>
      <c r="B3151" t="str">
        <f>"775 613 219 00085"</f>
        <v>775 613 219 00085</v>
      </c>
      <c r="D3151" t="str">
        <f>"CLINIQUE DENTAIRE"</f>
        <v>CLINIQUE DENTAIRE</v>
      </c>
      <c r="F3151" t="str">
        <f>"18 BOULEVARD DE LATTRE TASSIGNY"</f>
        <v>18 BOULEVARD DE LATTRE TASSIGNY</v>
      </c>
      <c r="G3151" t="str">
        <f>"CS 22028"</f>
        <v>CS 22028</v>
      </c>
      <c r="H3151" t="str">
        <f>"52915"</f>
        <v>52915</v>
      </c>
      <c r="I3151" t="str">
        <f>"CHAUMONT CEDEX 9"</f>
        <v>CHAUMONT CEDEX 9</v>
      </c>
      <c r="J3151" t="str">
        <f>"03 25 02 85 99 "</f>
        <v xml:space="preserve">03 25 02 85 99 </v>
      </c>
      <c r="L3151" s="1">
        <v>20455</v>
      </c>
      <c r="M3151" t="str">
        <f t="shared" si="441"/>
        <v>124</v>
      </c>
      <c r="N3151" t="str">
        <f t="shared" si="442"/>
        <v>Centre de Santé</v>
      </c>
      <c r="O3151" t="str">
        <f>"40"</f>
        <v>40</v>
      </c>
      <c r="P3151" t="str">
        <f>"Régime Général de Sécurité Sociale"</f>
        <v>Régime Général de Sécurité Sociale</v>
      </c>
      <c r="Q3151" t="str">
        <f t="shared" si="439"/>
        <v>36</v>
      </c>
      <c r="R3151" t="str">
        <f t="shared" si="440"/>
        <v>Tarifs conventionnels assurance maladie</v>
      </c>
      <c r="U3151" t="str">
        <f>"520782251"</f>
        <v>520782251</v>
      </c>
    </row>
    <row r="3152" spans="1:21" x14ac:dyDescent="0.3">
      <c r="A3152" t="str">
        <f>"940804750"</f>
        <v>940804750</v>
      </c>
      <c r="B3152" t="str">
        <f>"219 400 793 00226"</f>
        <v>219 400 793 00226</v>
      </c>
      <c r="D3152" t="str">
        <f>"CDS SOINS INFIRMIER VILLIERS SUR MARNE"</f>
        <v>CDS SOINS INFIRMIER VILLIERS SUR MARNE</v>
      </c>
      <c r="F3152" t="str">
        <f>"9 RUE ADRIEN MENTIENNE"</f>
        <v>9 RUE ADRIEN MENTIENNE</v>
      </c>
      <c r="H3152" t="str">
        <f>"94350"</f>
        <v>94350</v>
      </c>
      <c r="I3152" t="str">
        <f>"VILLIERS SUR MARNE"</f>
        <v>VILLIERS SUR MARNE</v>
      </c>
      <c r="J3152" t="str">
        <f>"01 49 30 03 29 "</f>
        <v xml:space="preserve">01 49 30 03 29 </v>
      </c>
      <c r="K3152" t="str">
        <f>"01 49 30 03 33"</f>
        <v>01 49 30 03 33</v>
      </c>
      <c r="L3152" s="1">
        <v>20455</v>
      </c>
      <c r="M3152" t="str">
        <f t="shared" si="441"/>
        <v>124</v>
      </c>
      <c r="N3152" t="str">
        <f t="shared" si="442"/>
        <v>Centre de Santé</v>
      </c>
      <c r="O3152" t="str">
        <f>"17"</f>
        <v>17</v>
      </c>
      <c r="P3152" t="str">
        <f>"Centre Communal d'Action Sociale"</f>
        <v>Centre Communal d'Action Sociale</v>
      </c>
      <c r="Q3152" t="str">
        <f t="shared" si="439"/>
        <v>36</v>
      </c>
      <c r="R3152" t="str">
        <f t="shared" si="440"/>
        <v>Tarifs conventionnels assurance maladie</v>
      </c>
      <c r="U3152" t="str">
        <f>"940790272"</f>
        <v>940790272</v>
      </c>
    </row>
    <row r="3153" spans="1:21" x14ac:dyDescent="0.3">
      <c r="A3153" t="str">
        <f>"940010168"</f>
        <v>940010168</v>
      </c>
      <c r="B3153" t="str">
        <f>"219 400 389 00231"</f>
        <v>219 400 389 00231</v>
      </c>
      <c r="D3153" t="str">
        <f>"CDS DE SANTE MUNICIPAL L HAY LES ROSES"</f>
        <v>CDS DE SANTE MUNICIPAL L HAY LES ROSES</v>
      </c>
      <c r="F3153" t="str">
        <f>"2 RUE DES ACACIAS"</f>
        <v>2 RUE DES ACACIAS</v>
      </c>
      <c r="H3153" t="str">
        <f>"94240"</f>
        <v>94240</v>
      </c>
      <c r="I3153" t="str">
        <f>"L HAY LES ROSES"</f>
        <v>L HAY LES ROSES</v>
      </c>
      <c r="J3153" t="str">
        <f>"01 56 70 17 30 "</f>
        <v xml:space="preserve">01 56 70 17 30 </v>
      </c>
      <c r="K3153" t="str">
        <f>"01 56 70 17 39"</f>
        <v>01 56 70 17 39</v>
      </c>
      <c r="L3153" s="1">
        <v>20302</v>
      </c>
      <c r="M3153" t="str">
        <f t="shared" si="441"/>
        <v>124</v>
      </c>
      <c r="N3153" t="str">
        <f t="shared" si="442"/>
        <v>Centre de Santé</v>
      </c>
      <c r="O3153" t="str">
        <f>"03"</f>
        <v>03</v>
      </c>
      <c r="P3153" t="str">
        <f>"Commune"</f>
        <v>Commune</v>
      </c>
      <c r="Q3153" t="str">
        <f t="shared" si="439"/>
        <v>36</v>
      </c>
      <c r="R3153" t="str">
        <f t="shared" si="440"/>
        <v>Tarifs conventionnels assurance maladie</v>
      </c>
      <c r="U3153" t="str">
        <f>"940806185"</f>
        <v>940806185</v>
      </c>
    </row>
    <row r="3154" spans="1:21" x14ac:dyDescent="0.3">
      <c r="A3154" t="str">
        <f>"930010020"</f>
        <v>930010020</v>
      </c>
      <c r="B3154" t="str">
        <f>"785 475 526 00014"</f>
        <v>785 475 526 00014</v>
      </c>
      <c r="D3154" t="str">
        <f>"CDS DE LA POLYCLINIQUE D AUBERVILLIERS"</f>
        <v>CDS DE LA POLYCLINIQUE D AUBERVILLIERS</v>
      </c>
      <c r="F3154" t="str">
        <f>"55 RUE HENRI BARBUSSE"</f>
        <v>55 RUE HENRI BARBUSSE</v>
      </c>
      <c r="H3154" t="str">
        <f>"93300"</f>
        <v>93300</v>
      </c>
      <c r="I3154" t="str">
        <f>"AUBERVILLIERS"</f>
        <v>AUBERVILLIERS</v>
      </c>
      <c r="J3154" t="str">
        <f>"01 48 39 41 55 "</f>
        <v xml:space="preserve">01 48 39 41 55 </v>
      </c>
      <c r="K3154" t="str">
        <f>"01 48 39 46 99"</f>
        <v>01 48 39 46 99</v>
      </c>
      <c r="L3154" s="1">
        <v>20210</v>
      </c>
      <c r="M3154" t="str">
        <f t="shared" si="441"/>
        <v>124</v>
      </c>
      <c r="N3154" t="str">
        <f t="shared" si="442"/>
        <v>Centre de Santé</v>
      </c>
      <c r="O3154" t="str">
        <f>"60"</f>
        <v>60</v>
      </c>
      <c r="P3154" t="str">
        <f>"Association Loi 1901 non Reconnue d'Utilité Publique"</f>
        <v>Association Loi 1901 non Reconnue d'Utilité Publique</v>
      </c>
      <c r="Q3154" t="str">
        <f t="shared" si="439"/>
        <v>36</v>
      </c>
      <c r="R3154" t="str">
        <f t="shared" si="440"/>
        <v>Tarifs conventionnels assurance maladie</v>
      </c>
      <c r="U3154" t="str">
        <f>"930019591"</f>
        <v>930019591</v>
      </c>
    </row>
    <row r="3155" spans="1:21" x14ac:dyDescent="0.3">
      <c r="A3155" t="str">
        <f>"570018119"</f>
        <v>570018119</v>
      </c>
      <c r="B3155" t="str">
        <f>"775 685 316 03573"</f>
        <v>775 685 316 03573</v>
      </c>
      <c r="D3155" t="str">
        <f>"CSP FILIERIS DE SCHOENECK"</f>
        <v>CSP FILIERIS DE SCHOENECK</v>
      </c>
      <c r="F3155" t="str">
        <f>"238 RUE STEPHANIE"</f>
        <v>238 RUE STEPHANIE</v>
      </c>
      <c r="H3155" t="str">
        <f>"57350"</f>
        <v>57350</v>
      </c>
      <c r="I3155" t="str">
        <f>"SCHOENECK"</f>
        <v>SCHOENECK</v>
      </c>
      <c r="J3155" t="str">
        <f>"03 87 85 69 08 "</f>
        <v xml:space="preserve">03 87 85 69 08 </v>
      </c>
      <c r="K3155" t="str">
        <f>"03 87 88 26 99"</f>
        <v>03 87 88 26 99</v>
      </c>
      <c r="L3155" s="1">
        <v>20090</v>
      </c>
      <c r="M3155" t="str">
        <f t="shared" si="441"/>
        <v>124</v>
      </c>
      <c r="N3155" t="str">
        <f t="shared" si="442"/>
        <v>Centre de Santé</v>
      </c>
      <c r="O3155" t="str">
        <f>"41"</f>
        <v>41</v>
      </c>
      <c r="P3155" t="str">
        <f>"Régime Spécial de Sécurité Sociale"</f>
        <v>Régime Spécial de Sécurité Sociale</v>
      </c>
      <c r="Q3155" t="str">
        <f t="shared" si="439"/>
        <v>36</v>
      </c>
      <c r="R3155" t="str">
        <f t="shared" si="440"/>
        <v>Tarifs conventionnels assurance maladie</v>
      </c>
      <c r="U3155" t="str">
        <f>"750050759"</f>
        <v>750050759</v>
      </c>
    </row>
    <row r="3156" spans="1:21" x14ac:dyDescent="0.3">
      <c r="A3156" t="str">
        <f>"280000548"</f>
        <v>280000548</v>
      </c>
      <c r="B3156" t="str">
        <f>"440 041 176 00023"</f>
        <v>440 041 176 00023</v>
      </c>
      <c r="D3156" t="str">
        <f>"CENTRE DE SOINS 'PRIEURE ST THOMAS'"</f>
        <v>CENTRE DE SOINS 'PRIEURE ST THOMAS'</v>
      </c>
      <c r="F3156" t="str">
        <f>"64 RUE PRIEURE ST THOMAS"</f>
        <v>64 RUE PRIEURE ST THOMAS</v>
      </c>
      <c r="H3156" t="str">
        <f>"28230"</f>
        <v>28230</v>
      </c>
      <c r="I3156" t="str">
        <f>"EPERNON"</f>
        <v>EPERNON</v>
      </c>
      <c r="J3156" t="str">
        <f>"02 37 83 71 00 "</f>
        <v xml:space="preserve">02 37 83 71 00 </v>
      </c>
      <c r="K3156" t="str">
        <f>"02 38 83 49 71"</f>
        <v>02 38 83 49 71</v>
      </c>
      <c r="L3156" s="1">
        <v>20059</v>
      </c>
      <c r="M3156" t="str">
        <f t="shared" si="441"/>
        <v>124</v>
      </c>
      <c r="N3156" t="str">
        <f t="shared" si="442"/>
        <v>Centre de Santé</v>
      </c>
      <c r="O3156" t="str">
        <f>"60"</f>
        <v>60</v>
      </c>
      <c r="P3156" t="str">
        <f>"Association Loi 1901 non Reconnue d'Utilité Publique"</f>
        <v>Association Loi 1901 non Reconnue d'Utilité Publique</v>
      </c>
      <c r="Q3156" t="str">
        <f t="shared" si="439"/>
        <v>36</v>
      </c>
      <c r="R3156" t="str">
        <f t="shared" si="440"/>
        <v>Tarifs conventionnels assurance maladie</v>
      </c>
      <c r="U3156" t="str">
        <f>"280002338"</f>
        <v>280002338</v>
      </c>
    </row>
    <row r="3157" spans="1:21" x14ac:dyDescent="0.3">
      <c r="A3157" t="str">
        <f>"870003183"</f>
        <v>870003183</v>
      </c>
      <c r="B3157" t="str">
        <f>"778 073 114 00069"</f>
        <v>778 073 114 00069</v>
      </c>
      <c r="D3157" t="str">
        <f>"CLINIQUE DENTAIRE CPAM"</f>
        <v>CLINIQUE DENTAIRE CPAM</v>
      </c>
      <c r="F3157" t="str">
        <f>"22 AVENUE JEAN GAGNANT"</f>
        <v>22 AVENUE JEAN GAGNANT</v>
      </c>
      <c r="H3157" t="str">
        <f>"87037"</f>
        <v>87037</v>
      </c>
      <c r="I3157" t="str">
        <f>"LIMOGES CEDEX 1"</f>
        <v>LIMOGES CEDEX 1</v>
      </c>
      <c r="J3157" t="str">
        <f>"05 55 45 88 00 "</f>
        <v xml:space="preserve">05 55 45 88 00 </v>
      </c>
      <c r="L3157" s="1">
        <v>19968</v>
      </c>
      <c r="M3157" t="str">
        <f t="shared" si="441"/>
        <v>124</v>
      </c>
      <c r="N3157" t="str">
        <f t="shared" si="442"/>
        <v>Centre de Santé</v>
      </c>
      <c r="O3157" t="str">
        <f>"40"</f>
        <v>40</v>
      </c>
      <c r="P3157" t="str">
        <f>"Régime Général de Sécurité Sociale"</f>
        <v>Régime Général de Sécurité Sociale</v>
      </c>
      <c r="Q3157" t="str">
        <f t="shared" si="439"/>
        <v>36</v>
      </c>
      <c r="R3157" t="str">
        <f t="shared" si="440"/>
        <v>Tarifs conventionnels assurance maladie</v>
      </c>
      <c r="U3157" t="str">
        <f>"870004454"</f>
        <v>870004454</v>
      </c>
    </row>
    <row r="3158" spans="1:21" x14ac:dyDescent="0.3">
      <c r="A3158" t="str">
        <f>"310786538"</f>
        <v>310786538</v>
      </c>
      <c r="B3158" t="str">
        <f>"776 950 529 00037"</f>
        <v>776 950 529 00037</v>
      </c>
      <c r="D3158" t="str">
        <f>"CABINET DENTAIRE"</f>
        <v>CABINET DENTAIRE</v>
      </c>
      <c r="F3158" t="str">
        <f>"3 RUE DE METZ"</f>
        <v>3 RUE DE METZ</v>
      </c>
      <c r="H3158" t="str">
        <f>"31000"</f>
        <v>31000</v>
      </c>
      <c r="I3158" t="str">
        <f>"TOULOUSE"</f>
        <v>TOULOUSE</v>
      </c>
      <c r="J3158" t="str">
        <f>"05 61 15 02 80 "</f>
        <v xml:space="preserve">05 61 15 02 80 </v>
      </c>
      <c r="L3158" s="1">
        <v>19829</v>
      </c>
      <c r="M3158" t="str">
        <f t="shared" si="441"/>
        <v>124</v>
      </c>
      <c r="N3158" t="str">
        <f t="shared" si="442"/>
        <v>Centre de Santé</v>
      </c>
      <c r="O3158" t="str">
        <f>"47"</f>
        <v>47</v>
      </c>
      <c r="P3158" t="str">
        <f>"Société Mutualiste"</f>
        <v>Société Mutualiste</v>
      </c>
      <c r="Q3158" t="str">
        <f t="shared" si="439"/>
        <v>36</v>
      </c>
      <c r="R3158" t="str">
        <f t="shared" si="440"/>
        <v>Tarifs conventionnels assurance maladie</v>
      </c>
      <c r="U3158" t="str">
        <f>"310788682"</f>
        <v>310788682</v>
      </c>
    </row>
    <row r="3159" spans="1:21" x14ac:dyDescent="0.3">
      <c r="A3159" t="str">
        <f>"310786587"</f>
        <v>310786587</v>
      </c>
      <c r="B3159" t="str">
        <f>"776 950 529 00052"</f>
        <v>776 950 529 00052</v>
      </c>
      <c r="D3159" t="str">
        <f>"CENTRE DE SANTE DENTAIRE"</f>
        <v>CENTRE DE SANTE DENTAIRE</v>
      </c>
      <c r="E3159" t="str">
        <f>"BAT B"</f>
        <v>BAT B</v>
      </c>
      <c r="F3159" t="str">
        <f>"3 RUE DU DOYEN LEFEBVRE"</f>
        <v>3 RUE DU DOYEN LEFEBVRE</v>
      </c>
      <c r="H3159" t="str">
        <f>"31100"</f>
        <v>31100</v>
      </c>
      <c r="I3159" t="str">
        <f>"TOULOUSE"</f>
        <v>TOULOUSE</v>
      </c>
      <c r="J3159" t="str">
        <f>"05 61 76 62 00 "</f>
        <v xml:space="preserve">05 61 76 62 00 </v>
      </c>
      <c r="K3159" t="str">
        <f>"05 61 76 62 44"</f>
        <v>05 61 76 62 44</v>
      </c>
      <c r="L3159" s="1">
        <v>19829</v>
      </c>
      <c r="M3159" t="str">
        <f t="shared" si="441"/>
        <v>124</v>
      </c>
      <c r="N3159" t="str">
        <f t="shared" si="442"/>
        <v>Centre de Santé</v>
      </c>
      <c r="O3159" t="str">
        <f>"47"</f>
        <v>47</v>
      </c>
      <c r="P3159" t="str">
        <f>"Société Mutualiste"</f>
        <v>Société Mutualiste</v>
      </c>
      <c r="Q3159" t="str">
        <f t="shared" si="439"/>
        <v>36</v>
      </c>
      <c r="R3159" t="str">
        <f t="shared" si="440"/>
        <v>Tarifs conventionnels assurance maladie</v>
      </c>
      <c r="U3159" t="str">
        <f>"310788682"</f>
        <v>310788682</v>
      </c>
    </row>
    <row r="3160" spans="1:21" x14ac:dyDescent="0.3">
      <c r="A3160" t="str">
        <f>"130785348"</f>
        <v>130785348</v>
      </c>
      <c r="B3160" t="str">
        <f>"775 557 226 00088"</f>
        <v>775 557 226 00088</v>
      </c>
      <c r="D3160" t="str">
        <f>"CSE AIRBUS HELICOPTERS"</f>
        <v>CSE AIRBUS HELICOPTERS</v>
      </c>
      <c r="F3160" t="str">
        <f>"AEROPORT INTERNAT MARSEILLE"</f>
        <v>AEROPORT INTERNAT MARSEILLE</v>
      </c>
      <c r="G3160" t="str">
        <f>"BP 79"</f>
        <v>BP 79</v>
      </c>
      <c r="H3160" t="str">
        <f>"13726"</f>
        <v>13726</v>
      </c>
      <c r="I3160" t="str">
        <f>"MARIGNANE CEDEX"</f>
        <v>MARIGNANE CEDEX</v>
      </c>
      <c r="J3160" t="str">
        <f>"04 42 85 85 31 "</f>
        <v xml:space="preserve">04 42 85 85 31 </v>
      </c>
      <c r="K3160" t="str">
        <f>"04 42 85 85 91"</f>
        <v>04 42 85 85 91</v>
      </c>
      <c r="L3160" s="1">
        <v>19793</v>
      </c>
      <c r="M3160" t="str">
        <f t="shared" si="441"/>
        <v>124</v>
      </c>
      <c r="N3160" t="str">
        <f t="shared" si="442"/>
        <v>Centre de Santé</v>
      </c>
      <c r="O3160" t="str">
        <f>"50"</f>
        <v>50</v>
      </c>
      <c r="P3160" t="str">
        <f>"Comité d'Entreprise ou Comité d'Etablissement"</f>
        <v>Comité d'Entreprise ou Comité d'Etablissement</v>
      </c>
      <c r="Q3160" t="str">
        <f t="shared" si="439"/>
        <v>36</v>
      </c>
      <c r="R3160" t="str">
        <f t="shared" si="440"/>
        <v>Tarifs conventionnels assurance maladie</v>
      </c>
      <c r="U3160" t="str">
        <f>"130002140"</f>
        <v>130002140</v>
      </c>
    </row>
    <row r="3161" spans="1:21" x14ac:dyDescent="0.3">
      <c r="A3161" t="str">
        <f>"080007396"</f>
        <v>080007396</v>
      </c>
      <c r="B3161" t="str">
        <f>"780 349 833 00175"</f>
        <v>780 349 833 00175</v>
      </c>
      <c r="D3161" t="str">
        <f>"CENTRE DE SANTE DE REVIN"</f>
        <v>CENTRE DE SANTE DE REVIN</v>
      </c>
      <c r="F3161" t="str">
        <f>"12 RUE COLONEL VAULET"</f>
        <v>12 RUE COLONEL VAULET</v>
      </c>
      <c r="H3161" t="str">
        <f>"08500"</f>
        <v>08500</v>
      </c>
      <c r="I3161" t="str">
        <f>"REVIN"</f>
        <v>REVIN</v>
      </c>
      <c r="J3161" t="str">
        <f>"03 24 42 90 98 "</f>
        <v xml:space="preserve">03 24 42 90 98 </v>
      </c>
      <c r="L3161" s="1">
        <v>19725</v>
      </c>
      <c r="M3161" t="str">
        <f t="shared" si="441"/>
        <v>124</v>
      </c>
      <c r="N3161" t="str">
        <f t="shared" si="442"/>
        <v>Centre de Santé</v>
      </c>
      <c r="O3161" t="str">
        <f>"47"</f>
        <v>47</v>
      </c>
      <c r="P3161" t="str">
        <f>"Société Mutualiste"</f>
        <v>Société Mutualiste</v>
      </c>
      <c r="Q3161" t="str">
        <f t="shared" si="439"/>
        <v>36</v>
      </c>
      <c r="R3161" t="str">
        <f t="shared" si="440"/>
        <v>Tarifs conventionnels assurance maladie</v>
      </c>
      <c r="U3161" t="str">
        <f>"510024581"</f>
        <v>510024581</v>
      </c>
    </row>
    <row r="3162" spans="1:21" x14ac:dyDescent="0.3">
      <c r="A3162" t="str">
        <f>"140000993"</f>
        <v>140000993</v>
      </c>
      <c r="B3162" t="str">
        <f>"327 853 024 00013"</f>
        <v>327 853 024 00013</v>
      </c>
      <c r="D3162" t="str">
        <f>"CENTRE SOINS INFIRMIERS-PORT EN BESSIN"</f>
        <v>CENTRE SOINS INFIRMIERS-PORT EN BESSIN</v>
      </c>
      <c r="F3162" t="str">
        <f>"45 RUE DE BAYEUX"</f>
        <v>45 RUE DE BAYEUX</v>
      </c>
      <c r="H3162" t="str">
        <f>"14520"</f>
        <v>14520</v>
      </c>
      <c r="I3162" t="str">
        <f>"PORT EN BESSIN HUPPAIN"</f>
        <v>PORT EN BESSIN HUPPAIN</v>
      </c>
      <c r="J3162" t="str">
        <f>"02 31 21 72 70 "</f>
        <v xml:space="preserve">02 31 21 72 70 </v>
      </c>
      <c r="K3162" t="str">
        <f>"02 31 21 02 24"</f>
        <v>02 31 21 02 24</v>
      </c>
      <c r="L3162" s="1">
        <v>19588</v>
      </c>
      <c r="M3162" t="str">
        <f t="shared" si="441"/>
        <v>124</v>
      </c>
      <c r="N3162" t="str">
        <f t="shared" si="442"/>
        <v>Centre de Santé</v>
      </c>
      <c r="O3162" t="str">
        <f>"60"</f>
        <v>60</v>
      </c>
      <c r="P3162" t="str">
        <f>"Association Loi 1901 non Reconnue d'Utilité Publique"</f>
        <v>Association Loi 1901 non Reconnue d'Utilité Publique</v>
      </c>
      <c r="Q3162" t="str">
        <f t="shared" si="439"/>
        <v>36</v>
      </c>
      <c r="R3162" t="str">
        <f t="shared" si="440"/>
        <v>Tarifs conventionnels assurance maladie</v>
      </c>
      <c r="U3162" t="str">
        <f>"140000647"</f>
        <v>140000647</v>
      </c>
    </row>
    <row r="3163" spans="1:21" x14ac:dyDescent="0.3">
      <c r="A3163" t="str">
        <f>"140000860"</f>
        <v>140000860</v>
      </c>
      <c r="B3163" t="str">
        <f>"794 994 277 00133"</f>
        <v>794 994 277 00133</v>
      </c>
      <c r="D3163" t="str">
        <f>"CENTRE DE SOINS INFIRMIERS"</f>
        <v>CENTRE DE SOINS INFIRMIERS</v>
      </c>
      <c r="F3163" t="str">
        <f>"34 RUE GASTON DE MANNEVILLE"</f>
        <v>34 RUE GASTON DE MANNEVILLE</v>
      </c>
      <c r="H3163" t="str">
        <f>"14160"</f>
        <v>14160</v>
      </c>
      <c r="I3163" t="str">
        <f>"DIVES SUR MER"</f>
        <v>DIVES SUR MER</v>
      </c>
      <c r="J3163" t="str">
        <f>"02 31 44 78 53 "</f>
        <v xml:space="preserve">02 31 44 78 53 </v>
      </c>
      <c r="K3163" t="str">
        <f>"02 31 57 20 54"</f>
        <v>02 31 57 20 54</v>
      </c>
      <c r="L3163" s="1">
        <v>19366</v>
      </c>
      <c r="M3163" t="str">
        <f t="shared" si="441"/>
        <v>124</v>
      </c>
      <c r="N3163" t="str">
        <f t="shared" si="442"/>
        <v>Centre de Santé</v>
      </c>
      <c r="O3163" t="str">
        <f>"47"</f>
        <v>47</v>
      </c>
      <c r="P3163" t="str">
        <f>"Société Mutualiste"</f>
        <v>Société Mutualiste</v>
      </c>
      <c r="Q3163" t="str">
        <f t="shared" si="439"/>
        <v>36</v>
      </c>
      <c r="R3163" t="str">
        <f t="shared" si="440"/>
        <v>Tarifs conventionnels assurance maladie</v>
      </c>
      <c r="U3163" t="str">
        <f>"760000539"</f>
        <v>760000539</v>
      </c>
    </row>
    <row r="3164" spans="1:21" x14ac:dyDescent="0.3">
      <c r="A3164" t="str">
        <f>"180002057"</f>
        <v>180002057</v>
      </c>
      <c r="B3164" t="str">
        <f>"775 347 891 01041"</f>
        <v>775 347 891 01041</v>
      </c>
      <c r="D3164" t="str">
        <f>"VYV DENTAIRE BOURGES"</f>
        <v>VYV DENTAIRE BOURGES</v>
      </c>
      <c r="F3164" t="str">
        <f>"2 BOULEVARD GAMBETTA"</f>
        <v>2 BOULEVARD GAMBETTA</v>
      </c>
      <c r="H3164" t="str">
        <f>"18000"</f>
        <v>18000</v>
      </c>
      <c r="I3164" t="str">
        <f>"BOURGES"</f>
        <v>BOURGES</v>
      </c>
      <c r="J3164" t="str">
        <f>"02 48 68 93 11 "</f>
        <v xml:space="preserve">02 48 68 93 11 </v>
      </c>
      <c r="K3164" t="str">
        <f>"02 48 70 34 66"</f>
        <v>02 48 70 34 66</v>
      </c>
      <c r="L3164" s="1">
        <v>18994</v>
      </c>
      <c r="M3164" t="str">
        <f t="shared" si="441"/>
        <v>124</v>
      </c>
      <c r="N3164" t="str">
        <f t="shared" si="442"/>
        <v>Centre de Santé</v>
      </c>
      <c r="O3164" t="str">
        <f>"47"</f>
        <v>47</v>
      </c>
      <c r="P3164" t="str">
        <f>"Société Mutualiste"</f>
        <v>Société Mutualiste</v>
      </c>
      <c r="Q3164" t="str">
        <f t="shared" si="439"/>
        <v>36</v>
      </c>
      <c r="R3164" t="str">
        <f t="shared" si="440"/>
        <v>Tarifs conventionnels assurance maladie</v>
      </c>
      <c r="U3164" t="str">
        <f>"370100935"</f>
        <v>370100935</v>
      </c>
    </row>
    <row r="3165" spans="1:21" x14ac:dyDescent="0.3">
      <c r="A3165" t="str">
        <f>"180002065"</f>
        <v>180002065</v>
      </c>
      <c r="B3165" t="str">
        <f>"775 347 891 01033"</f>
        <v>775 347 891 01033</v>
      </c>
      <c r="D3165" t="str">
        <f>"CABINET DENTAIRE MUTUALISTE"</f>
        <v>CABINET DENTAIRE MUTUALISTE</v>
      </c>
      <c r="E3165" t="str">
        <f>"FORUM DE LA REPUBLIQUE"</f>
        <v>FORUM DE LA REPUBLIQUE</v>
      </c>
      <c r="F3165" t="str">
        <f>"11 RUE DU 11 NOVEMBRE 1918"</f>
        <v>11 RUE DU 11 NOVEMBRE 1918</v>
      </c>
      <c r="H3165" t="str">
        <f>"18100"</f>
        <v>18100</v>
      </c>
      <c r="I3165" t="str">
        <f>"VIERZON"</f>
        <v>VIERZON</v>
      </c>
      <c r="J3165" t="str">
        <f>"02 48 75 20 48 "</f>
        <v xml:space="preserve">02 48 75 20 48 </v>
      </c>
      <c r="K3165" t="str">
        <f>"02 48 69 08 49"</f>
        <v>02 48 69 08 49</v>
      </c>
      <c r="L3165" s="1">
        <v>18994</v>
      </c>
      <c r="M3165" t="str">
        <f t="shared" si="441"/>
        <v>124</v>
      </c>
      <c r="N3165" t="str">
        <f t="shared" si="442"/>
        <v>Centre de Santé</v>
      </c>
      <c r="O3165" t="str">
        <f>"47"</f>
        <v>47</v>
      </c>
      <c r="P3165" t="str">
        <f>"Société Mutualiste"</f>
        <v>Société Mutualiste</v>
      </c>
      <c r="Q3165" t="str">
        <f t="shared" si="439"/>
        <v>36</v>
      </c>
      <c r="R3165" t="str">
        <f t="shared" si="440"/>
        <v>Tarifs conventionnels assurance maladie</v>
      </c>
      <c r="U3165" t="str">
        <f>"370100935"</f>
        <v>370100935</v>
      </c>
    </row>
    <row r="3166" spans="1:21" x14ac:dyDescent="0.3">
      <c r="A3166" t="str">
        <f>"570000653"</f>
        <v>570000653</v>
      </c>
      <c r="B3166" t="str">
        <f>"515 260 883 00225"</f>
        <v>515 260 883 00225</v>
      </c>
      <c r="D3166" t="str">
        <f>"CLINIQUE DENTAIRE CPAM DE MOSELLE"</f>
        <v>CLINIQUE DENTAIRE CPAM DE MOSELLE</v>
      </c>
      <c r="F3166" t="str">
        <f>"29 RUE DES MESSAGERIES"</f>
        <v>29 RUE DES MESSAGERIES</v>
      </c>
      <c r="H3166" t="str">
        <f>"57000"</f>
        <v>57000</v>
      </c>
      <c r="I3166" t="str">
        <f>"METZ"</f>
        <v>METZ</v>
      </c>
      <c r="J3166" t="str">
        <f>"03 87 39 36 30 "</f>
        <v xml:space="preserve">03 87 39 36 30 </v>
      </c>
      <c r="L3166" s="1">
        <v>18994</v>
      </c>
      <c r="M3166" t="str">
        <f t="shared" si="441"/>
        <v>124</v>
      </c>
      <c r="N3166" t="str">
        <f t="shared" si="442"/>
        <v>Centre de Santé</v>
      </c>
      <c r="O3166" t="str">
        <f>"40"</f>
        <v>40</v>
      </c>
      <c r="P3166" t="str">
        <f>"Régime Général de Sécurité Sociale"</f>
        <v>Régime Général de Sécurité Sociale</v>
      </c>
      <c r="Q3166" t="str">
        <f t="shared" si="439"/>
        <v>36</v>
      </c>
      <c r="R3166" t="str">
        <f t="shared" si="440"/>
        <v>Tarifs conventionnels assurance maladie</v>
      </c>
      <c r="U3166" t="str">
        <f>"570010439"</f>
        <v>570010439</v>
      </c>
    </row>
    <row r="3167" spans="1:21" x14ac:dyDescent="0.3">
      <c r="A3167" t="str">
        <f>"690790936"</f>
        <v>690790936</v>
      </c>
      <c r="B3167" t="str">
        <f>"775 648 223 00409"</f>
        <v>775 648 223 00409</v>
      </c>
      <c r="D3167" t="str">
        <f>"CENTRE DE SANTE DENTAIRE DE BRON"</f>
        <v>CENTRE DE SANTE DENTAIRE DE BRON</v>
      </c>
      <c r="F3167" t="str">
        <f>"3 PLACE DU 11 NOVEMBRE 1918"</f>
        <v>3 PLACE DU 11 NOVEMBRE 1918</v>
      </c>
      <c r="H3167" t="str">
        <f>"69500"</f>
        <v>69500</v>
      </c>
      <c r="I3167" t="str">
        <f>"BRON"</f>
        <v>BRON</v>
      </c>
      <c r="J3167" t="str">
        <f>"04 78 53 19 18 "</f>
        <v xml:space="preserve">04 78 53 19 18 </v>
      </c>
      <c r="K3167" t="str">
        <f>"04 72 68 83 19"</f>
        <v>04 72 68 83 19</v>
      </c>
      <c r="L3167" s="1">
        <v>18750</v>
      </c>
      <c r="M3167" t="str">
        <f t="shared" si="441"/>
        <v>124</v>
      </c>
      <c r="N3167" t="str">
        <f t="shared" si="442"/>
        <v>Centre de Santé</v>
      </c>
      <c r="O3167" t="str">
        <f>"47"</f>
        <v>47</v>
      </c>
      <c r="P3167" t="str">
        <f>"Société Mutualiste"</f>
        <v>Société Mutualiste</v>
      </c>
      <c r="Q3167" t="str">
        <f t="shared" si="439"/>
        <v>36</v>
      </c>
      <c r="R3167" t="str">
        <f t="shared" si="440"/>
        <v>Tarifs conventionnels assurance maladie</v>
      </c>
      <c r="U3167" t="str">
        <f>"690796602"</f>
        <v>690796602</v>
      </c>
    </row>
    <row r="3168" spans="1:21" x14ac:dyDescent="0.3">
      <c r="A3168" t="str">
        <f>"690790944"</f>
        <v>690790944</v>
      </c>
      <c r="B3168" t="str">
        <f>"775 648 223 00672"</f>
        <v>775 648 223 00672</v>
      </c>
      <c r="D3168" t="str">
        <f>"CENTRE DE SANTE ANDRE PHILIP"</f>
        <v>CENTRE DE SANTE ANDRE PHILIP</v>
      </c>
      <c r="F3168" t="str">
        <f>"354 RUE ANDRE PHILIP"</f>
        <v>354 RUE ANDRE PHILIP</v>
      </c>
      <c r="H3168" t="str">
        <f>"69007"</f>
        <v>69007</v>
      </c>
      <c r="I3168" t="str">
        <f>"LYON"</f>
        <v>LYON</v>
      </c>
      <c r="J3168" t="str">
        <f>"04 72 84 89 40 "</f>
        <v xml:space="preserve">04 72 84 89 40 </v>
      </c>
      <c r="K3168" t="str">
        <f>"04 72 84 89 47"</f>
        <v>04 72 84 89 47</v>
      </c>
      <c r="L3168" s="1">
        <v>18750</v>
      </c>
      <c r="M3168" t="str">
        <f t="shared" si="441"/>
        <v>124</v>
      </c>
      <c r="N3168" t="str">
        <f t="shared" si="442"/>
        <v>Centre de Santé</v>
      </c>
      <c r="O3168" t="str">
        <f>"47"</f>
        <v>47</v>
      </c>
      <c r="P3168" t="str">
        <f>"Société Mutualiste"</f>
        <v>Société Mutualiste</v>
      </c>
      <c r="Q3168" t="str">
        <f t="shared" si="439"/>
        <v>36</v>
      </c>
      <c r="R3168" t="str">
        <f t="shared" si="440"/>
        <v>Tarifs conventionnels assurance maladie</v>
      </c>
      <c r="U3168" t="str">
        <f>"690796602"</f>
        <v>690796602</v>
      </c>
    </row>
    <row r="3169" spans="1:21" x14ac:dyDescent="0.3">
      <c r="A3169" t="str">
        <f>"350002960"</f>
        <v>350002960</v>
      </c>
      <c r="B3169" t="str">
        <f>"519 033 989 00145"</f>
        <v>519 033 989 00145</v>
      </c>
      <c r="D3169" t="str">
        <f>"CDS DENTAIRE MUTUALISTE COLOMBIER"</f>
        <v>CDS DENTAIRE MUTUALISTE COLOMBIER</v>
      </c>
      <c r="F3169" t="str">
        <f>"20 PLACE MARECHAL JUIN"</f>
        <v>20 PLACE MARECHAL JUIN</v>
      </c>
      <c r="H3169" t="str">
        <f>"35000"</f>
        <v>35000</v>
      </c>
      <c r="I3169" t="str">
        <f>"RENNES"</f>
        <v>RENNES</v>
      </c>
      <c r="J3169" t="str">
        <f>"02 99 31 39 22 "</f>
        <v xml:space="preserve">02 99 31 39 22 </v>
      </c>
      <c r="K3169" t="str">
        <f>"02 99 31 94 80"</f>
        <v>02 99 31 94 80</v>
      </c>
      <c r="L3169" s="1">
        <v>18629</v>
      </c>
      <c r="M3169" t="str">
        <f t="shared" si="441"/>
        <v>124</v>
      </c>
      <c r="N3169" t="str">
        <f t="shared" si="442"/>
        <v>Centre de Santé</v>
      </c>
      <c r="O3169" t="str">
        <f>"47"</f>
        <v>47</v>
      </c>
      <c r="P3169" t="str">
        <f>"Société Mutualiste"</f>
        <v>Société Mutualiste</v>
      </c>
      <c r="Q3169" t="str">
        <f t="shared" si="439"/>
        <v>36</v>
      </c>
      <c r="R3169" t="str">
        <f t="shared" si="440"/>
        <v>Tarifs conventionnels assurance maladie</v>
      </c>
      <c r="U3169" t="str">
        <f>"560030710"</f>
        <v>560030710</v>
      </c>
    </row>
    <row r="3170" spans="1:21" x14ac:dyDescent="0.3">
      <c r="A3170" t="str">
        <f>"130782865"</f>
        <v>130782865</v>
      </c>
      <c r="B3170" t="str">
        <f>"782 824 379 00013"</f>
        <v>782 824 379 00013</v>
      </c>
      <c r="D3170" t="str">
        <f>"CDS DENTAIRE MARSEILLE"</f>
        <v>CDS DENTAIRE MARSEILLE</v>
      </c>
      <c r="F3170" t="str">
        <f>"20 RUE CAISSERIE"</f>
        <v>20 RUE CAISSERIE</v>
      </c>
      <c r="H3170" t="str">
        <f>"13235"</f>
        <v>13235</v>
      </c>
      <c r="I3170" t="str">
        <f>"MARSEILLE CEDEX 02"</f>
        <v>MARSEILLE CEDEX 02</v>
      </c>
      <c r="J3170" t="str">
        <f>"04 96 11 62 96 "</f>
        <v xml:space="preserve">04 96 11 62 96 </v>
      </c>
      <c r="K3170" t="str">
        <f>"04 96 11 62 97"</f>
        <v>04 96 11 62 97</v>
      </c>
      <c r="L3170" s="1">
        <v>18618</v>
      </c>
      <c r="M3170" t="str">
        <f t="shared" si="441"/>
        <v>124</v>
      </c>
      <c r="N3170" t="str">
        <f t="shared" si="442"/>
        <v>Centre de Santé</v>
      </c>
      <c r="O3170" t="str">
        <f>"60"</f>
        <v>60</v>
      </c>
      <c r="P3170" t="str">
        <f>"Association Loi 1901 non Reconnue d'Utilité Publique"</f>
        <v>Association Loi 1901 non Reconnue d'Utilité Publique</v>
      </c>
      <c r="Q3170" t="str">
        <f t="shared" si="439"/>
        <v>36</v>
      </c>
      <c r="R3170" t="str">
        <f t="shared" si="440"/>
        <v>Tarifs conventionnels assurance maladie</v>
      </c>
      <c r="U3170" t="str">
        <f>"130001308"</f>
        <v>130001308</v>
      </c>
    </row>
    <row r="3171" spans="1:21" x14ac:dyDescent="0.3">
      <c r="A3171" t="str">
        <f>"920010220"</f>
        <v>920010220</v>
      </c>
      <c r="B3171" t="str">
        <f>"219 200 235 00303"</f>
        <v>219 200 235 00303</v>
      </c>
      <c r="D3171" t="str">
        <f>"CDS MUNICIPAL JEAN JAURES CLAMART"</f>
        <v>CDS MUNICIPAL JEAN JAURES CLAMART</v>
      </c>
      <c r="F3171" t="str">
        <f>"55 AVENUE JEAN JAURES"</f>
        <v>55 AVENUE JEAN JAURES</v>
      </c>
      <c r="H3171" t="str">
        <f>"92140"</f>
        <v>92140</v>
      </c>
      <c r="I3171" t="str">
        <f>"CLAMART"</f>
        <v>CLAMART</v>
      </c>
      <c r="J3171" t="str">
        <f>"01 41 23 05 91 "</f>
        <v xml:space="preserve">01 41 23 05 91 </v>
      </c>
      <c r="K3171" t="str">
        <f>"01 58 88 39 05"</f>
        <v>01 58 88 39 05</v>
      </c>
      <c r="L3171" s="1">
        <v>18544</v>
      </c>
      <c r="M3171" t="str">
        <f t="shared" si="441"/>
        <v>124</v>
      </c>
      <c r="N3171" t="str">
        <f t="shared" si="442"/>
        <v>Centre de Santé</v>
      </c>
      <c r="O3171" t="str">
        <f>"03"</f>
        <v>03</v>
      </c>
      <c r="P3171" t="str">
        <f>"Commune"</f>
        <v>Commune</v>
      </c>
      <c r="Q3171" t="str">
        <f t="shared" si="439"/>
        <v>36</v>
      </c>
      <c r="R3171" t="str">
        <f t="shared" si="440"/>
        <v>Tarifs conventionnels assurance maladie</v>
      </c>
      <c r="U3171" t="str">
        <f>"920807633"</f>
        <v>920807633</v>
      </c>
    </row>
    <row r="3172" spans="1:21" x14ac:dyDescent="0.3">
      <c r="A3172" t="str">
        <f>"940805500"</f>
        <v>940805500</v>
      </c>
      <c r="B3172" t="str">
        <f>"219 400 348 00377"</f>
        <v>219 400 348 00377</v>
      </c>
      <c r="D3172" t="str">
        <f>"CDS MUNICIPAL DE SANTE DE FRESNE"</f>
        <v>CDS MUNICIPAL DE SANTE DE FRESNE</v>
      </c>
      <c r="F3172" t="str">
        <f>"22 RUE HENRI BARBUSSE"</f>
        <v>22 RUE HENRI BARBUSSE</v>
      </c>
      <c r="H3172" t="str">
        <f>"94260"</f>
        <v>94260</v>
      </c>
      <c r="I3172" t="str">
        <f>"FRESNES"</f>
        <v>FRESNES</v>
      </c>
      <c r="J3172" t="str">
        <f>"01 49 84 57 47 "</f>
        <v xml:space="preserve">01 49 84 57 47 </v>
      </c>
      <c r="K3172" t="str">
        <f>"01 49 84 57 46"</f>
        <v>01 49 84 57 46</v>
      </c>
      <c r="L3172" s="1">
        <v>18472</v>
      </c>
      <c r="M3172" t="str">
        <f t="shared" si="441"/>
        <v>124</v>
      </c>
      <c r="N3172" t="str">
        <f t="shared" si="442"/>
        <v>Centre de Santé</v>
      </c>
      <c r="O3172" t="str">
        <f>"03"</f>
        <v>03</v>
      </c>
      <c r="P3172" t="str">
        <f>"Commune"</f>
        <v>Commune</v>
      </c>
      <c r="Q3172" t="str">
        <f t="shared" si="439"/>
        <v>36</v>
      </c>
      <c r="R3172" t="str">
        <f t="shared" si="440"/>
        <v>Tarifs conventionnels assurance maladie</v>
      </c>
      <c r="U3172" t="str">
        <f>"940806870"</f>
        <v>940806870</v>
      </c>
    </row>
    <row r="3173" spans="1:21" x14ac:dyDescent="0.3">
      <c r="A3173" t="str">
        <f>"680002250"</f>
        <v>680002250</v>
      </c>
      <c r="B3173" t="str">
        <f>"317 164 689 00067"</f>
        <v>317 164 689 00067</v>
      </c>
      <c r="D3173" t="str">
        <f>"CENTRE DE SOINS DROUOT"</f>
        <v>CENTRE DE SOINS DROUOT</v>
      </c>
      <c r="F3173" t="str">
        <f>"20 RUE DE PROVENCE"</f>
        <v>20 RUE DE PROVENCE</v>
      </c>
      <c r="H3173" t="str">
        <f>"68100"</f>
        <v>68100</v>
      </c>
      <c r="I3173" t="str">
        <f>"MULHOUSE"</f>
        <v>MULHOUSE</v>
      </c>
      <c r="J3173" t="str">
        <f>"03 89 44 51 42 "</f>
        <v xml:space="preserve">03 89 44 51 42 </v>
      </c>
      <c r="K3173" t="str">
        <f>"03 89 64 93 00"</f>
        <v>03 89 64 93 00</v>
      </c>
      <c r="L3173" s="1">
        <v>18357</v>
      </c>
      <c r="M3173" t="str">
        <f t="shared" si="441"/>
        <v>124</v>
      </c>
      <c r="N3173" t="str">
        <f t="shared" si="442"/>
        <v>Centre de Santé</v>
      </c>
      <c r="O3173" t="str">
        <f>"62"</f>
        <v>62</v>
      </c>
      <c r="P3173" t="str">
        <f>"Association de Droit Local"</f>
        <v>Association de Droit Local</v>
      </c>
      <c r="Q3173" t="str">
        <f t="shared" si="439"/>
        <v>36</v>
      </c>
      <c r="R3173" t="str">
        <f t="shared" si="440"/>
        <v>Tarifs conventionnels assurance maladie</v>
      </c>
      <c r="U3173" t="str">
        <f>"680013919"</f>
        <v>680013919</v>
      </c>
    </row>
    <row r="3174" spans="1:21" x14ac:dyDescent="0.3">
      <c r="A3174" t="str">
        <f>"340784891"</f>
        <v>340784891</v>
      </c>
      <c r="B3174" t="str">
        <f>"775 685 316 00892"</f>
        <v>775 685 316 00892</v>
      </c>
      <c r="D3174" t="str">
        <f>"CSI FILIERIS DE GRAISSESSAC"</f>
        <v>CSI FILIERIS DE GRAISSESSAC</v>
      </c>
      <c r="E3174" t="str">
        <f>"CENTRE MEDICO SOCIAL"</f>
        <v>CENTRE MEDICO SOCIAL</v>
      </c>
      <c r="F3174" t="str">
        <f>"9 RUE DES ECOLES"</f>
        <v>9 RUE DES ECOLES</v>
      </c>
      <c r="H3174" t="str">
        <f>"34260"</f>
        <v>34260</v>
      </c>
      <c r="I3174" t="str">
        <f>"GRAISSESSAC"</f>
        <v>GRAISSESSAC</v>
      </c>
      <c r="J3174" t="str">
        <f>"04 67 23 34 55 "</f>
        <v xml:space="preserve">04 67 23 34 55 </v>
      </c>
      <c r="K3174" t="str">
        <f>"04 67 23 34 63"</f>
        <v>04 67 23 34 63</v>
      </c>
      <c r="L3174" s="1">
        <v>18264</v>
      </c>
      <c r="M3174" t="str">
        <f t="shared" si="441"/>
        <v>124</v>
      </c>
      <c r="N3174" t="str">
        <f t="shared" si="442"/>
        <v>Centre de Santé</v>
      </c>
      <c r="O3174" t="str">
        <f>"41"</f>
        <v>41</v>
      </c>
      <c r="P3174" t="str">
        <f>"Régime Spécial de Sécurité Sociale"</f>
        <v>Régime Spécial de Sécurité Sociale</v>
      </c>
      <c r="Q3174" t="str">
        <f t="shared" si="439"/>
        <v>36</v>
      </c>
      <c r="R3174" t="str">
        <f t="shared" si="440"/>
        <v>Tarifs conventionnels assurance maladie</v>
      </c>
      <c r="U3174" t="str">
        <f>"750050759"</f>
        <v>750050759</v>
      </c>
    </row>
    <row r="3175" spans="1:21" x14ac:dyDescent="0.3">
      <c r="A3175" t="str">
        <f>"700780604"</f>
        <v>700780604</v>
      </c>
      <c r="B3175" t="str">
        <f>"311 079 487 00022"</f>
        <v>311 079 487 00022</v>
      </c>
      <c r="D3175" t="str">
        <f>"CENTRE SOINS INFIRMIERS FAVERNEY"</f>
        <v>CENTRE SOINS INFIRMIERS FAVERNEY</v>
      </c>
      <c r="F3175" t="str">
        <f>"2 RUE BOSSUET"</f>
        <v>2 RUE BOSSUET</v>
      </c>
      <c r="H3175" t="str">
        <f>"70160"</f>
        <v>70160</v>
      </c>
      <c r="I3175" t="str">
        <f>"FAVERNEY"</f>
        <v>FAVERNEY</v>
      </c>
      <c r="J3175" t="str">
        <f>"03 84 91 30 44 "</f>
        <v xml:space="preserve">03 84 91 30 44 </v>
      </c>
      <c r="K3175" t="str">
        <f>"03 84 91 42 99"</f>
        <v>03 84 91 42 99</v>
      </c>
      <c r="L3175" s="1">
        <v>18264</v>
      </c>
      <c r="M3175" t="str">
        <f t="shared" si="441"/>
        <v>124</v>
      </c>
      <c r="N3175" t="str">
        <f t="shared" si="442"/>
        <v>Centre de Santé</v>
      </c>
      <c r="O3175" t="str">
        <f>"60"</f>
        <v>60</v>
      </c>
      <c r="P3175" t="str">
        <f>"Association Loi 1901 non Reconnue d'Utilité Publique"</f>
        <v>Association Loi 1901 non Reconnue d'Utilité Publique</v>
      </c>
      <c r="Q3175" t="str">
        <f t="shared" ref="Q3175:Q3238" si="443">"36"</f>
        <v>36</v>
      </c>
      <c r="R3175" t="str">
        <f t="shared" ref="R3175:R3238" si="444">"Tarifs conventionnels assurance maladie"</f>
        <v>Tarifs conventionnels assurance maladie</v>
      </c>
      <c r="U3175" t="str">
        <f>"700000292"</f>
        <v>700000292</v>
      </c>
    </row>
    <row r="3176" spans="1:21" x14ac:dyDescent="0.3">
      <c r="A3176" t="str">
        <f>"630784718"</f>
        <v>630784718</v>
      </c>
      <c r="B3176" t="str">
        <f>"775 602 436 01052"</f>
        <v>775 602 436 01052</v>
      </c>
      <c r="D3176" t="str">
        <f>"CENTRE DE SANTE DENTAIRE RUE NIEL"</f>
        <v>CENTRE DE SANTE DENTAIRE RUE NIEL</v>
      </c>
      <c r="F3176" t="str">
        <f>"34 RUE NIEL"</f>
        <v>34 RUE NIEL</v>
      </c>
      <c r="H3176" t="str">
        <f>"63000"</f>
        <v>63000</v>
      </c>
      <c r="I3176" t="str">
        <f>"CLERMONT FERRAND"</f>
        <v>CLERMONT FERRAND</v>
      </c>
      <c r="J3176" t="str">
        <f>"04 73 31 50 70 "</f>
        <v xml:space="preserve">04 73 31 50 70 </v>
      </c>
      <c r="L3176" s="1">
        <v>17996</v>
      </c>
      <c r="M3176" t="str">
        <f t="shared" si="441"/>
        <v>124</v>
      </c>
      <c r="N3176" t="str">
        <f t="shared" si="442"/>
        <v>Centre de Santé</v>
      </c>
      <c r="O3176" t="str">
        <f>"47"</f>
        <v>47</v>
      </c>
      <c r="P3176" t="str">
        <f>"Société Mutualiste"</f>
        <v>Société Mutualiste</v>
      </c>
      <c r="Q3176" t="str">
        <f t="shared" si="443"/>
        <v>36</v>
      </c>
      <c r="R3176" t="str">
        <f t="shared" si="444"/>
        <v>Tarifs conventionnels assurance maladie</v>
      </c>
      <c r="U3176" t="str">
        <f>"420787061"</f>
        <v>420787061</v>
      </c>
    </row>
    <row r="3177" spans="1:21" x14ac:dyDescent="0.3">
      <c r="A3177" t="str">
        <f>"340784834"</f>
        <v>340784834</v>
      </c>
      <c r="B3177" t="str">
        <f>"444 270 326 00523"</f>
        <v>444 270 326 00523</v>
      </c>
      <c r="D3177" t="str">
        <f>"CDS POLYVALENT ROCH SANTE"</f>
        <v>CDS POLYVALENT ROCH SANTE</v>
      </c>
      <c r="F3177" t="str">
        <f>"103 RUE ALEXANDRA DAVID-NEEL"</f>
        <v>103 RUE ALEXANDRA DAVID-NEEL</v>
      </c>
      <c r="H3177" t="str">
        <f>"34965"</f>
        <v>34965</v>
      </c>
      <c r="I3177" t="str">
        <f>"MONTPELLIER CEDEX 2"</f>
        <v>MONTPELLIER CEDEX 2</v>
      </c>
      <c r="J3177" t="str">
        <f>"04 67 22 85 07 "</f>
        <v xml:space="preserve">04 67 22 85 07 </v>
      </c>
      <c r="L3177" s="1">
        <v>17899</v>
      </c>
      <c r="M3177" t="str">
        <f t="shared" si="441"/>
        <v>124</v>
      </c>
      <c r="N3177" t="str">
        <f t="shared" si="442"/>
        <v>Centre de Santé</v>
      </c>
      <c r="O3177" t="str">
        <f>"47"</f>
        <v>47</v>
      </c>
      <c r="P3177" t="str">
        <f>"Société Mutualiste"</f>
        <v>Société Mutualiste</v>
      </c>
      <c r="Q3177" t="str">
        <f t="shared" si="443"/>
        <v>36</v>
      </c>
      <c r="R3177" t="str">
        <f t="shared" si="444"/>
        <v>Tarifs conventionnels assurance maladie</v>
      </c>
      <c r="U3177" t="str">
        <f>"340028901"</f>
        <v>340028901</v>
      </c>
    </row>
    <row r="3178" spans="1:21" x14ac:dyDescent="0.3">
      <c r="A3178" t="str">
        <f>"190002303"</f>
        <v>190002303</v>
      </c>
      <c r="B3178" t="str">
        <f>"777 966 870 00035"</f>
        <v>777 966 870 00035</v>
      </c>
      <c r="D3178" t="str">
        <f>"CABINET DENTAIRE"</f>
        <v>CABINET DENTAIRE</v>
      </c>
      <c r="F3178" t="str">
        <f>"17 AVENUE ALSACE LORRAINE"</f>
        <v>17 AVENUE ALSACE LORRAINE</v>
      </c>
      <c r="H3178" t="str">
        <f>"19100"</f>
        <v>19100</v>
      </c>
      <c r="I3178" t="str">
        <f>"BRIVE LA GAILLARDE"</f>
        <v>BRIVE LA GAILLARDE</v>
      </c>
      <c r="J3178" t="str">
        <f>"05 55 92 70 50 "</f>
        <v xml:space="preserve">05 55 92 70 50 </v>
      </c>
      <c r="L3178" s="1">
        <v>17889</v>
      </c>
      <c r="M3178" t="str">
        <f t="shared" si="441"/>
        <v>124</v>
      </c>
      <c r="N3178" t="str">
        <f t="shared" si="442"/>
        <v>Centre de Santé</v>
      </c>
      <c r="O3178" t="str">
        <f>"40"</f>
        <v>40</v>
      </c>
      <c r="P3178" t="str">
        <f>"Régime Général de Sécurité Sociale"</f>
        <v>Régime Général de Sécurité Sociale</v>
      </c>
      <c r="Q3178" t="str">
        <f t="shared" si="443"/>
        <v>36</v>
      </c>
      <c r="R3178" t="str">
        <f t="shared" si="444"/>
        <v>Tarifs conventionnels assurance maladie</v>
      </c>
      <c r="U3178" t="str">
        <f>"190001644"</f>
        <v>190001644</v>
      </c>
    </row>
    <row r="3179" spans="1:21" x14ac:dyDescent="0.3">
      <c r="A3179" t="str">
        <f>"690781364"</f>
        <v>690781364</v>
      </c>
      <c r="B3179" t="str">
        <f>"779 866 110 00017"</f>
        <v>779 866 110 00017</v>
      </c>
      <c r="D3179" t="str">
        <f>"CENTRE DE SANTE FDGL SEVIGNE"</f>
        <v>CENTRE DE SANTE FDGL SEVIGNE</v>
      </c>
      <c r="F3179" t="str">
        <f>"10 RUE DE SEVIGNE"</f>
        <v>10 RUE DE SEVIGNE</v>
      </c>
      <c r="H3179" t="str">
        <f>"69003"</f>
        <v>69003</v>
      </c>
      <c r="I3179" t="str">
        <f>"LYON"</f>
        <v>LYON</v>
      </c>
      <c r="J3179" t="str">
        <f>"04 78 14 14 14 "</f>
        <v xml:space="preserve">04 78 14 14 14 </v>
      </c>
      <c r="L3179" s="1">
        <v>17889</v>
      </c>
      <c r="M3179" t="str">
        <f t="shared" si="441"/>
        <v>124</v>
      </c>
      <c r="N3179" t="str">
        <f t="shared" si="442"/>
        <v>Centre de Santé</v>
      </c>
      <c r="O3179" t="str">
        <f>"63"</f>
        <v>63</v>
      </c>
      <c r="P3179" t="str">
        <f>"Fondation"</f>
        <v>Fondation</v>
      </c>
      <c r="Q3179" t="str">
        <f t="shared" si="443"/>
        <v>36</v>
      </c>
      <c r="R3179" t="str">
        <f t="shared" si="444"/>
        <v>Tarifs conventionnels assurance maladie</v>
      </c>
      <c r="U3179" t="str">
        <f>"690793278"</f>
        <v>690793278</v>
      </c>
    </row>
    <row r="3180" spans="1:21" x14ac:dyDescent="0.3">
      <c r="A3180" t="str">
        <f>"930010335"</f>
        <v>930010335</v>
      </c>
      <c r="B3180" t="str">
        <f>"219 300 464 00233"</f>
        <v>219 300 464 00233</v>
      </c>
      <c r="D3180" t="str">
        <f>"CMS LIVRY GARGAN"</f>
        <v>CMS LIVRY GARGAN</v>
      </c>
      <c r="F3180" t="str">
        <f>"36 RUE SAINT CLAUDE"</f>
        <v>36 RUE SAINT CLAUDE</v>
      </c>
      <c r="H3180" t="str">
        <f>"93190"</f>
        <v>93190</v>
      </c>
      <c r="I3180" t="str">
        <f>"LIVRY GARGAN"</f>
        <v>LIVRY GARGAN</v>
      </c>
      <c r="J3180" t="str">
        <f>"01 43 30 00 30 "</f>
        <v xml:space="preserve">01 43 30 00 30 </v>
      </c>
      <c r="K3180" t="str">
        <f>"01 43 32 68 36"</f>
        <v>01 43 32 68 36</v>
      </c>
      <c r="L3180" s="1">
        <v>17627</v>
      </c>
      <c r="M3180" t="str">
        <f t="shared" si="441"/>
        <v>124</v>
      </c>
      <c r="N3180" t="str">
        <f t="shared" si="442"/>
        <v>Centre de Santé</v>
      </c>
      <c r="O3180" t="str">
        <f>"03"</f>
        <v>03</v>
      </c>
      <c r="P3180" t="str">
        <f>"Commune"</f>
        <v>Commune</v>
      </c>
      <c r="Q3180" t="str">
        <f t="shared" si="443"/>
        <v>36</v>
      </c>
      <c r="R3180" t="str">
        <f t="shared" si="444"/>
        <v>Tarifs conventionnels assurance maladie</v>
      </c>
      <c r="U3180" t="str">
        <f>"930813035"</f>
        <v>930813035</v>
      </c>
    </row>
    <row r="3181" spans="1:21" x14ac:dyDescent="0.3">
      <c r="A3181" t="str">
        <f>"590784252"</f>
        <v>590784252</v>
      </c>
      <c r="D3181" t="str">
        <f>"CENTRE DE SANTE"</f>
        <v>CENTRE DE SANTE</v>
      </c>
      <c r="F3181" t="str">
        <f>"1 RUE ESPAGNOLE"</f>
        <v>1 RUE ESPAGNOLE</v>
      </c>
      <c r="H3181" t="str">
        <f>"59380"</f>
        <v>59380</v>
      </c>
      <c r="I3181" t="str">
        <f>"BERGUES"</f>
        <v>BERGUES</v>
      </c>
      <c r="J3181" t="str">
        <f>"03 28 65 86 60 "</f>
        <v xml:space="preserve">03 28 65 86 60 </v>
      </c>
      <c r="L3181" s="1">
        <v>17261</v>
      </c>
      <c r="M3181" t="str">
        <f t="shared" si="441"/>
        <v>124</v>
      </c>
      <c r="N3181" t="str">
        <f t="shared" si="442"/>
        <v>Centre de Santé</v>
      </c>
      <c r="O3181" t="str">
        <f>"60"</f>
        <v>60</v>
      </c>
      <c r="P3181" t="str">
        <f>"Association Loi 1901 non Reconnue d'Utilité Publique"</f>
        <v>Association Loi 1901 non Reconnue d'Utilité Publique</v>
      </c>
      <c r="Q3181" t="str">
        <f t="shared" si="443"/>
        <v>36</v>
      </c>
      <c r="R3181" t="str">
        <f t="shared" si="444"/>
        <v>Tarifs conventionnels assurance maladie</v>
      </c>
      <c r="U3181" t="str">
        <f>"590002655"</f>
        <v>590002655</v>
      </c>
    </row>
    <row r="3182" spans="1:21" x14ac:dyDescent="0.3">
      <c r="A3182" t="str">
        <f>"600108591"</f>
        <v>600108591</v>
      </c>
      <c r="B3182" t="str">
        <f>"480 266 014 00376"</f>
        <v>480 266 014 00376</v>
      </c>
      <c r="D3182" t="str">
        <f>"CS CENTRE POLY CREIL"</f>
        <v>CS CENTRE POLY CREIL</v>
      </c>
      <c r="F3182" t="str">
        <f>"45 RUE VOLTAIRE"</f>
        <v>45 RUE VOLTAIRE</v>
      </c>
      <c r="H3182" t="str">
        <f>"60100"</f>
        <v>60100</v>
      </c>
      <c r="I3182" t="str">
        <f>"CREIL"</f>
        <v>CREIL</v>
      </c>
      <c r="J3182" t="str">
        <f>"03 44 55 87 00 "</f>
        <v xml:space="preserve">03 44 55 87 00 </v>
      </c>
      <c r="K3182" t="str">
        <f>"03 44 55 36 03"</f>
        <v>03 44 55 36 03</v>
      </c>
      <c r="L3182" s="1">
        <v>17168</v>
      </c>
      <c r="M3182" t="str">
        <f t="shared" si="441"/>
        <v>124</v>
      </c>
      <c r="N3182" t="str">
        <f t="shared" si="442"/>
        <v>Centre de Santé</v>
      </c>
      <c r="O3182" t="str">
        <f>"75"</f>
        <v>75</v>
      </c>
      <c r="P3182" t="str">
        <f>"Autre Société"</f>
        <v>Autre Société</v>
      </c>
      <c r="Q3182" t="str">
        <f t="shared" si="443"/>
        <v>36</v>
      </c>
      <c r="R3182" t="str">
        <f t="shared" si="444"/>
        <v>Tarifs conventionnels assurance maladie</v>
      </c>
      <c r="U3182" t="str">
        <f>"600108583"</f>
        <v>600108583</v>
      </c>
    </row>
    <row r="3183" spans="1:21" x14ac:dyDescent="0.3">
      <c r="A3183" t="str">
        <f>"680000056"</f>
        <v>680000056</v>
      </c>
      <c r="D3183" t="str">
        <f>"CENTRE DE SANTE DENTAIRE"</f>
        <v>CENTRE DE SANTE DENTAIRE</v>
      </c>
      <c r="F3183" t="str">
        <f>"51 RUE STALINGRAD"</f>
        <v>51 RUE STALINGRAD</v>
      </c>
      <c r="H3183" t="str">
        <f>"68082"</f>
        <v>68082</v>
      </c>
      <c r="I3183" t="str">
        <f>"MULHOUSE CEDEX 9"</f>
        <v>MULHOUSE CEDEX 9</v>
      </c>
      <c r="J3183" t="str">
        <f>"03 89 46 91 11 "</f>
        <v xml:space="preserve">03 89 46 91 11 </v>
      </c>
      <c r="L3183" s="1">
        <v>17168</v>
      </c>
      <c r="M3183" t="str">
        <f t="shared" si="441"/>
        <v>124</v>
      </c>
      <c r="N3183" t="str">
        <f t="shared" si="442"/>
        <v>Centre de Santé</v>
      </c>
      <c r="O3183" t="str">
        <f>"40"</f>
        <v>40</v>
      </c>
      <c r="P3183" t="str">
        <f>"Régime Général de Sécurité Sociale"</f>
        <v>Régime Général de Sécurité Sociale</v>
      </c>
      <c r="Q3183" t="str">
        <f t="shared" si="443"/>
        <v>36</v>
      </c>
      <c r="R3183" t="str">
        <f t="shared" si="444"/>
        <v>Tarifs conventionnels assurance maladie</v>
      </c>
      <c r="U3183" t="str">
        <f>"680011228"</f>
        <v>680011228</v>
      </c>
    </row>
    <row r="3184" spans="1:21" x14ac:dyDescent="0.3">
      <c r="A3184" t="str">
        <f>"680000528"</f>
        <v>680000528</v>
      </c>
      <c r="B3184" t="str">
        <f>"515 131 431 00105"</f>
        <v>515 131 431 00105</v>
      </c>
      <c r="D3184" t="str">
        <f>"CENTRE DE SANTE DENTAIRE"</f>
        <v>CENTRE DE SANTE DENTAIRE</v>
      </c>
      <c r="F3184" t="str">
        <f>"1 RUE DE REIMS"</f>
        <v>1 RUE DE REIMS</v>
      </c>
      <c r="H3184" t="str">
        <f>"68022"</f>
        <v>68022</v>
      </c>
      <c r="I3184" t="str">
        <f>"COLMAR CEDEX"</f>
        <v>COLMAR CEDEX</v>
      </c>
      <c r="J3184" t="str">
        <f>"03 89 21 79 60 "</f>
        <v xml:space="preserve">03 89 21 79 60 </v>
      </c>
      <c r="L3184" s="1">
        <v>17168</v>
      </c>
      <c r="M3184" t="str">
        <f t="shared" si="441"/>
        <v>124</v>
      </c>
      <c r="N3184" t="str">
        <f t="shared" si="442"/>
        <v>Centre de Santé</v>
      </c>
      <c r="O3184" t="str">
        <f>"40"</f>
        <v>40</v>
      </c>
      <c r="P3184" t="str">
        <f>"Régime Général de Sécurité Sociale"</f>
        <v>Régime Général de Sécurité Sociale</v>
      </c>
      <c r="Q3184" t="str">
        <f t="shared" si="443"/>
        <v>36</v>
      </c>
      <c r="R3184" t="str">
        <f t="shared" si="444"/>
        <v>Tarifs conventionnels assurance maladie</v>
      </c>
      <c r="U3184" t="str">
        <f>"680011210"</f>
        <v>680011210</v>
      </c>
    </row>
    <row r="3185" spans="1:21" x14ac:dyDescent="0.3">
      <c r="A3185" t="str">
        <f>"680016474"</f>
        <v>680016474</v>
      </c>
      <c r="B3185" t="str">
        <f>"515 131 431 00196"</f>
        <v>515 131 431 00196</v>
      </c>
      <c r="D3185" t="str">
        <f>"CENTRE DE SANTE DENTAIRE GUEBWILLER"</f>
        <v>CENTRE DE SANTE DENTAIRE GUEBWILLER</v>
      </c>
      <c r="F3185" t="str">
        <f>"125 RUE THEODORE DECK"</f>
        <v>125 RUE THEODORE DECK</v>
      </c>
      <c r="H3185" t="str">
        <f>"68500"</f>
        <v>68500</v>
      </c>
      <c r="I3185" t="str">
        <f>"GUEBWILLER"</f>
        <v>GUEBWILLER</v>
      </c>
      <c r="J3185" t="str">
        <f>"03 68 47 97 30 "</f>
        <v xml:space="preserve">03 68 47 97 30 </v>
      </c>
      <c r="L3185" s="1">
        <v>17168</v>
      </c>
      <c r="M3185" t="str">
        <f t="shared" si="441"/>
        <v>124</v>
      </c>
      <c r="N3185" t="str">
        <f t="shared" si="442"/>
        <v>Centre de Santé</v>
      </c>
      <c r="O3185" t="str">
        <f>"40"</f>
        <v>40</v>
      </c>
      <c r="P3185" t="str">
        <f>"Régime Général de Sécurité Sociale"</f>
        <v>Régime Général de Sécurité Sociale</v>
      </c>
      <c r="Q3185" t="str">
        <f t="shared" si="443"/>
        <v>36</v>
      </c>
      <c r="R3185" t="str">
        <f t="shared" si="444"/>
        <v>Tarifs conventionnels assurance maladie</v>
      </c>
      <c r="U3185" t="str">
        <f>"680011210"</f>
        <v>680011210</v>
      </c>
    </row>
    <row r="3186" spans="1:21" x14ac:dyDescent="0.3">
      <c r="A3186" t="str">
        <f>"950010082"</f>
        <v>950010082</v>
      </c>
      <c r="B3186" t="str">
        <f>"219 505 823 00233"</f>
        <v>219 505 823 00233</v>
      </c>
      <c r="D3186" t="str">
        <f>"CDS MEDICAL ET DENTAIRE DE SANNOIS"</f>
        <v>CDS MEDICAL ET DENTAIRE DE SANNOIS</v>
      </c>
      <c r="F3186" t="str">
        <f>"46 BOULEVARD DU GENERAL DE GAULLE"</f>
        <v>46 BOULEVARD DU GENERAL DE GAULLE</v>
      </c>
      <c r="H3186" t="str">
        <f>"95110"</f>
        <v>95110</v>
      </c>
      <c r="I3186" t="str">
        <f>"SANNOIS"</f>
        <v>SANNOIS</v>
      </c>
      <c r="J3186" t="str">
        <f>"01 39 81 23 99 "</f>
        <v xml:space="preserve">01 39 81 23 99 </v>
      </c>
      <c r="K3186" t="str">
        <f>"01 39 80 61 60"</f>
        <v>01 39 80 61 60</v>
      </c>
      <c r="L3186" s="1">
        <v>17076</v>
      </c>
      <c r="M3186" t="str">
        <f t="shared" si="441"/>
        <v>124</v>
      </c>
      <c r="N3186" t="str">
        <f t="shared" si="442"/>
        <v>Centre de Santé</v>
      </c>
      <c r="O3186" t="str">
        <f>"03"</f>
        <v>03</v>
      </c>
      <c r="P3186" t="str">
        <f>"Commune"</f>
        <v>Commune</v>
      </c>
      <c r="Q3186" t="str">
        <f t="shared" si="443"/>
        <v>36</v>
      </c>
      <c r="R3186" t="str">
        <f t="shared" si="444"/>
        <v>Tarifs conventionnels assurance maladie</v>
      </c>
      <c r="U3186" t="str">
        <f>"950802868"</f>
        <v>950802868</v>
      </c>
    </row>
    <row r="3187" spans="1:21" x14ac:dyDescent="0.3">
      <c r="A3187" t="str">
        <f>"590781977"</f>
        <v>590781977</v>
      </c>
      <c r="B3187" t="str">
        <f>"378 000 640 00052"</f>
        <v>378 000 640 00052</v>
      </c>
      <c r="D3187" t="str">
        <f>"CTRE DE SOINS MARLIERE CRX ROUG"</f>
        <v>CTRE DE SOINS MARLIERE CRX ROUG</v>
      </c>
      <c r="F3187" t="str">
        <f>"41 RUE DE BOURGOGNE"</f>
        <v>41 RUE DE BOURGOGNE</v>
      </c>
      <c r="H3187" t="str">
        <f>"59200"</f>
        <v>59200</v>
      </c>
      <c r="I3187" t="str">
        <f>"TOURCOING"</f>
        <v>TOURCOING</v>
      </c>
      <c r="J3187" t="str">
        <f>"03 20 01 75 51 "</f>
        <v xml:space="preserve">03 20 01 75 51 </v>
      </c>
      <c r="L3187" s="1">
        <v>16923</v>
      </c>
      <c r="M3187" t="str">
        <f t="shared" si="441"/>
        <v>124</v>
      </c>
      <c r="N3187" t="str">
        <f t="shared" si="442"/>
        <v>Centre de Santé</v>
      </c>
      <c r="O3187" t="str">
        <f>"60"</f>
        <v>60</v>
      </c>
      <c r="P3187" t="str">
        <f>"Association Loi 1901 non Reconnue d'Utilité Publique"</f>
        <v>Association Loi 1901 non Reconnue d'Utilité Publique</v>
      </c>
      <c r="Q3187" t="str">
        <f t="shared" si="443"/>
        <v>36</v>
      </c>
      <c r="R3187" t="str">
        <f t="shared" si="444"/>
        <v>Tarifs conventionnels assurance maladie</v>
      </c>
      <c r="U3187" t="str">
        <f>"590002804"</f>
        <v>590002804</v>
      </c>
    </row>
    <row r="3188" spans="1:21" x14ac:dyDescent="0.3">
      <c r="A3188" t="str">
        <f>"560022857"</f>
        <v>560022857</v>
      </c>
      <c r="B3188" t="str">
        <f>"318 695 921 00037"</f>
        <v>318 695 921 00037</v>
      </c>
      <c r="D3188" t="str">
        <f>"CDS INFIRMIER DE PLOERMEL"</f>
        <v>CDS INFIRMIER DE PLOERMEL</v>
      </c>
      <c r="F3188" t="str">
        <f>"15 AVENUE DR GUILLOIS"</f>
        <v>15 AVENUE DR GUILLOIS</v>
      </c>
      <c r="H3188" t="str">
        <f>"56800"</f>
        <v>56800</v>
      </c>
      <c r="I3188" t="str">
        <f>"PLOERMEL"</f>
        <v>PLOERMEL</v>
      </c>
      <c r="J3188" t="str">
        <f>"02 97 93 69 01 "</f>
        <v xml:space="preserve">02 97 93 69 01 </v>
      </c>
      <c r="K3188" t="str">
        <f>"08 97 93 63 33"</f>
        <v>08 97 93 63 33</v>
      </c>
      <c r="L3188" s="1">
        <v>16539</v>
      </c>
      <c r="M3188" t="str">
        <f t="shared" si="441"/>
        <v>124</v>
      </c>
      <c r="N3188" t="str">
        <f t="shared" si="442"/>
        <v>Centre de Santé</v>
      </c>
      <c r="O3188" t="str">
        <f>"61"</f>
        <v>61</v>
      </c>
      <c r="P3188" t="str">
        <f>"Association Loi 1901 Reconnue d'Utilité Publique"</f>
        <v>Association Loi 1901 Reconnue d'Utilité Publique</v>
      </c>
      <c r="Q3188" t="str">
        <f t="shared" si="443"/>
        <v>36</v>
      </c>
      <c r="R3188" t="str">
        <f t="shared" si="444"/>
        <v>Tarifs conventionnels assurance maladie</v>
      </c>
      <c r="U3188" t="str">
        <f>"560025538"</f>
        <v>560025538</v>
      </c>
    </row>
    <row r="3189" spans="1:21" x14ac:dyDescent="0.3">
      <c r="A3189" t="str">
        <f>"920010469"</f>
        <v>920010469</v>
      </c>
      <c r="B3189" t="str">
        <f>"219 200 466 00189"</f>
        <v>219 200 466 00189</v>
      </c>
      <c r="D3189" t="str">
        <f>"CDS MEDICO-SOCIAL MUNICIPAL TENINE"</f>
        <v>CDS MEDICO-SOCIAL MUNICIPAL TENINE</v>
      </c>
      <c r="F3189" t="str">
        <f>"74 AVENUE PIERRE LAROUSSE"</f>
        <v>74 AVENUE PIERRE LAROUSSE</v>
      </c>
      <c r="H3189" t="str">
        <f>"92240"</f>
        <v>92240</v>
      </c>
      <c r="I3189" t="str">
        <f>"MALAKOFF"</f>
        <v>MALAKOFF</v>
      </c>
      <c r="J3189" t="str">
        <f>"01 41 17 43 50 "</f>
        <v xml:space="preserve">01 41 17 43 50 </v>
      </c>
      <c r="K3189" t="str">
        <f>"01 41 17 43 59"</f>
        <v>01 41 17 43 59</v>
      </c>
      <c r="L3189" s="1">
        <v>16438</v>
      </c>
      <c r="M3189" t="str">
        <f t="shared" si="441"/>
        <v>124</v>
      </c>
      <c r="N3189" t="str">
        <f t="shared" si="442"/>
        <v>Centre de Santé</v>
      </c>
      <c r="O3189" t="str">
        <f>"03"</f>
        <v>03</v>
      </c>
      <c r="P3189" t="str">
        <f>"Commune"</f>
        <v>Commune</v>
      </c>
      <c r="Q3189" t="str">
        <f t="shared" si="443"/>
        <v>36</v>
      </c>
      <c r="R3189" t="str">
        <f t="shared" si="444"/>
        <v>Tarifs conventionnels assurance maladie</v>
      </c>
      <c r="U3189" t="str">
        <f>"920807732"</f>
        <v>920807732</v>
      </c>
    </row>
    <row r="3190" spans="1:21" x14ac:dyDescent="0.3">
      <c r="A3190" t="str">
        <f>"940010069"</f>
        <v>940010069</v>
      </c>
      <c r="B3190" t="str">
        <f>"219 400 173 00015"</f>
        <v>219 400 173 00015</v>
      </c>
      <c r="D3190" t="str">
        <f>"CDS MUNICIPAL DE SANTE MAURICE TENINE"</f>
        <v>CDS MUNICIPAL DE SANTE MAURICE TENINE</v>
      </c>
      <c r="F3190" t="str">
        <f>"15 RUE MARCEL ET GEORGETTE SEMBAT"</f>
        <v>15 RUE MARCEL ET GEORGETTE SEMBAT</v>
      </c>
      <c r="H3190" t="str">
        <f>"94500"</f>
        <v>94500</v>
      </c>
      <c r="I3190" t="str">
        <f>"CHAMPIGNY SUR MARNE"</f>
        <v>CHAMPIGNY SUR MARNE</v>
      </c>
      <c r="J3190" t="str">
        <f>"01 48 82 55 00 "</f>
        <v xml:space="preserve">01 48 82 55 00 </v>
      </c>
      <c r="K3190" t="str">
        <f>"01 48 82 55 27"</f>
        <v>01 48 82 55 27</v>
      </c>
      <c r="L3190" s="1">
        <v>16438</v>
      </c>
      <c r="M3190" t="str">
        <f t="shared" si="441"/>
        <v>124</v>
      </c>
      <c r="N3190" t="str">
        <f t="shared" si="442"/>
        <v>Centre de Santé</v>
      </c>
      <c r="O3190" t="str">
        <f>"03"</f>
        <v>03</v>
      </c>
      <c r="P3190" t="str">
        <f>"Commune"</f>
        <v>Commune</v>
      </c>
      <c r="Q3190" t="str">
        <f t="shared" si="443"/>
        <v>36</v>
      </c>
      <c r="R3190" t="str">
        <f t="shared" si="444"/>
        <v>Tarifs conventionnels assurance maladie</v>
      </c>
      <c r="U3190" t="str">
        <f>"940806649"</f>
        <v>940806649</v>
      </c>
    </row>
    <row r="3191" spans="1:21" x14ac:dyDescent="0.3">
      <c r="A3191" t="str">
        <f>"510000680"</f>
        <v>510000680</v>
      </c>
      <c r="B3191" t="str">
        <f>"775 672 272 20189"</f>
        <v>775 672 272 20189</v>
      </c>
      <c r="D3191" t="str">
        <f>"CTRE DE SOINS INFIRMIERS DEPARTEMENTAL"</f>
        <v>CTRE DE SOINS INFIRMIERS DEPARTEMENTAL</v>
      </c>
      <c r="E3191" t="str">
        <f>"HOUZEAU MUIRON"</f>
        <v>HOUZEAU MUIRON</v>
      </c>
      <c r="F3191" t="str">
        <f>"26 RUE HOUZEAU MUIRON"</f>
        <v>26 RUE HOUZEAU MUIRON</v>
      </c>
      <c r="H3191" t="str">
        <f>"51100"</f>
        <v>51100</v>
      </c>
      <c r="I3191" t="str">
        <f>"REIMS"</f>
        <v>REIMS</v>
      </c>
      <c r="J3191" t="str">
        <f>"03 26 40 00 38 "</f>
        <v xml:space="preserve">03 26 40 00 38 </v>
      </c>
      <c r="L3191" s="1">
        <v>14611</v>
      </c>
      <c r="M3191" t="str">
        <f t="shared" si="441"/>
        <v>124</v>
      </c>
      <c r="N3191" t="str">
        <f t="shared" si="442"/>
        <v>Centre de Santé</v>
      </c>
      <c r="O3191" t="str">
        <f>"61"</f>
        <v>61</v>
      </c>
      <c r="P3191" t="str">
        <f>"Association Loi 1901 Reconnue d'Utilité Publique"</f>
        <v>Association Loi 1901 Reconnue d'Utilité Publique</v>
      </c>
      <c r="Q3191" t="str">
        <f t="shared" si="443"/>
        <v>36</v>
      </c>
      <c r="R3191" t="str">
        <f t="shared" si="444"/>
        <v>Tarifs conventionnels assurance maladie</v>
      </c>
      <c r="U3191" t="str">
        <f>"750721334"</f>
        <v>750721334</v>
      </c>
    </row>
    <row r="3192" spans="1:21" x14ac:dyDescent="0.3">
      <c r="A3192" t="str">
        <f>"780807624"</f>
        <v>780807624</v>
      </c>
      <c r="B3192" t="str">
        <f>"785 148 958 00016"</f>
        <v>785 148 958 00016</v>
      </c>
      <c r="D3192" t="str">
        <f>"CDS SOINS INFIRMIERS DES PETITS BOIS"</f>
        <v>CDS SOINS INFIRMIERS DES PETITS BOIS</v>
      </c>
      <c r="F3192" t="str">
        <f>"6 RUE BERNARD DE JUSSIEU"</f>
        <v>6 RUE BERNARD DE JUSSIEU</v>
      </c>
      <c r="H3192" t="str">
        <f>"78000"</f>
        <v>78000</v>
      </c>
      <c r="I3192" t="str">
        <f>"VERSAILLES"</f>
        <v>VERSAILLES</v>
      </c>
      <c r="J3192" t="str">
        <f>"01 39 51 33 43 "</f>
        <v xml:space="preserve">01 39 51 33 43 </v>
      </c>
      <c r="K3192" t="str">
        <f>"01 39 51 45 10"</f>
        <v>01 39 51 45 10</v>
      </c>
      <c r="L3192" s="1">
        <v>14611</v>
      </c>
      <c r="M3192" t="str">
        <f t="shared" si="441"/>
        <v>124</v>
      </c>
      <c r="N3192" t="str">
        <f t="shared" si="442"/>
        <v>Centre de Santé</v>
      </c>
      <c r="O3192" t="str">
        <f>"60"</f>
        <v>60</v>
      </c>
      <c r="P3192" t="str">
        <f>"Association Loi 1901 non Reconnue d'Utilité Publique"</f>
        <v>Association Loi 1901 non Reconnue d'Utilité Publique</v>
      </c>
      <c r="Q3192" t="str">
        <f t="shared" si="443"/>
        <v>36</v>
      </c>
      <c r="R3192" t="str">
        <f t="shared" si="444"/>
        <v>Tarifs conventionnels assurance maladie</v>
      </c>
      <c r="U3192" t="str">
        <f>"780807616"</f>
        <v>780807616</v>
      </c>
    </row>
    <row r="3193" spans="1:21" x14ac:dyDescent="0.3">
      <c r="A3193" t="str">
        <f>"940010119"</f>
        <v>940010119</v>
      </c>
      <c r="B3193" t="str">
        <f>"219 400 330 00367"</f>
        <v>219 400 330 00367</v>
      </c>
      <c r="D3193" t="str">
        <f>"CDS MEDICO SOCIAL MUNICIPAL"</f>
        <v>CDS MEDICO SOCIAL MUNICIPAL</v>
      </c>
      <c r="F3193" t="str">
        <f>"24 RUE EMILE ROUX"</f>
        <v>24 RUE EMILE ROUX</v>
      </c>
      <c r="H3193" t="str">
        <f>"94120"</f>
        <v>94120</v>
      </c>
      <c r="I3193" t="str">
        <f>"FONTENAY SOUS BOIS"</f>
        <v>FONTENAY SOUS BOIS</v>
      </c>
      <c r="J3193" t="str">
        <f>"01 48 75 43 11 "</f>
        <v xml:space="preserve">01 48 75 43 11 </v>
      </c>
      <c r="K3193" t="str">
        <f>"01 48 75 10 43"</f>
        <v>01 48 75 10 43</v>
      </c>
      <c r="L3193" s="1">
        <v>14611</v>
      </c>
      <c r="M3193" t="str">
        <f t="shared" si="441"/>
        <v>124</v>
      </c>
      <c r="N3193" t="str">
        <f t="shared" si="442"/>
        <v>Centre de Santé</v>
      </c>
      <c r="O3193" t="str">
        <f>"03"</f>
        <v>03</v>
      </c>
      <c r="P3193" t="str">
        <f>"Commune"</f>
        <v>Commune</v>
      </c>
      <c r="Q3193" t="str">
        <f t="shared" si="443"/>
        <v>36</v>
      </c>
      <c r="R3193" t="str">
        <f t="shared" si="444"/>
        <v>Tarifs conventionnels assurance maladie</v>
      </c>
      <c r="U3193" t="str">
        <f>"940806177"</f>
        <v>940806177</v>
      </c>
    </row>
    <row r="3194" spans="1:21" x14ac:dyDescent="0.3">
      <c r="A3194" t="str">
        <f>"030781454"</f>
        <v>030781454</v>
      </c>
      <c r="B3194" t="str">
        <f>"529 451 759 00060"</f>
        <v>529 451 759 00060</v>
      </c>
      <c r="D3194" t="str">
        <f>"CENTRE DE SANTE DENTAIRE MUTUALISTE"</f>
        <v>CENTRE DE SANTE DENTAIRE MUTUALISTE</v>
      </c>
      <c r="F3194" t="str">
        <f>"3 AVENUE MARX DORMOY"</f>
        <v>3 AVENUE MARX DORMOY</v>
      </c>
      <c r="H3194" t="str">
        <f>"03100"</f>
        <v>03100</v>
      </c>
      <c r="I3194" t="str">
        <f>"MONTLUCON"</f>
        <v>MONTLUCON</v>
      </c>
      <c r="J3194" t="str">
        <f>"04 70 28 25 76 "</f>
        <v xml:space="preserve">04 70 28 25 76 </v>
      </c>
      <c r="K3194" t="str">
        <f>"04 70 28 03 10"</f>
        <v>04 70 28 03 10</v>
      </c>
      <c r="L3194" s="1">
        <v>13881</v>
      </c>
      <c r="M3194" t="str">
        <f t="shared" si="441"/>
        <v>124</v>
      </c>
      <c r="N3194" t="str">
        <f t="shared" si="442"/>
        <v>Centre de Santé</v>
      </c>
      <c r="O3194" t="str">
        <f>"47"</f>
        <v>47</v>
      </c>
      <c r="P3194" t="str">
        <f>"Société Mutualiste"</f>
        <v>Société Mutualiste</v>
      </c>
      <c r="Q3194" t="str">
        <f t="shared" si="443"/>
        <v>36</v>
      </c>
      <c r="R3194" t="str">
        <f t="shared" si="444"/>
        <v>Tarifs conventionnels assurance maladie</v>
      </c>
      <c r="U3194" t="str">
        <f>"030007025"</f>
        <v>030007025</v>
      </c>
    </row>
    <row r="3195" spans="1:21" x14ac:dyDescent="0.3">
      <c r="A3195" t="str">
        <f>"940713795"</f>
        <v>940713795</v>
      </c>
      <c r="B3195" t="str">
        <f>"219 400 769 00457"</f>
        <v>219 400 769 00457</v>
      </c>
      <c r="D3195" t="str">
        <f>"CDS DENTAIRE DANIELLE CASANOVA"</f>
        <v>CDS DENTAIRE DANIELLE CASANOVA</v>
      </c>
      <c r="F3195" t="str">
        <f>"12 RUE JEAN JAURES"</f>
        <v>12 RUE JEAN JAURES</v>
      </c>
      <c r="H3195" t="str">
        <f>"94800"</f>
        <v>94800</v>
      </c>
      <c r="I3195" t="str">
        <f>"VILLEJUIF"</f>
        <v>VILLEJUIF</v>
      </c>
      <c r="J3195" t="str">
        <f>"01 46 77 35 08 "</f>
        <v xml:space="preserve">01 46 77 35 08 </v>
      </c>
      <c r="K3195" t="str">
        <f>"01 46 77 35 25"</f>
        <v>01 46 77 35 25</v>
      </c>
      <c r="L3195" s="1">
        <v>13791</v>
      </c>
      <c r="M3195" t="str">
        <f t="shared" si="441"/>
        <v>124</v>
      </c>
      <c r="N3195" t="str">
        <f t="shared" si="442"/>
        <v>Centre de Santé</v>
      </c>
      <c r="O3195" t="str">
        <f>"03"</f>
        <v>03</v>
      </c>
      <c r="P3195" t="str">
        <f>"Commune"</f>
        <v>Commune</v>
      </c>
      <c r="Q3195" t="str">
        <f t="shared" si="443"/>
        <v>36</v>
      </c>
      <c r="R3195" t="str">
        <f t="shared" si="444"/>
        <v>Tarifs conventionnels assurance maladie</v>
      </c>
      <c r="U3195" t="str">
        <f>"940806771"</f>
        <v>940806771</v>
      </c>
    </row>
    <row r="3196" spans="1:21" x14ac:dyDescent="0.3">
      <c r="A3196" t="str">
        <f>"870003266"</f>
        <v>870003266</v>
      </c>
      <c r="B3196" t="str">
        <f>"778 093 674 00035"</f>
        <v>778 093 674 00035</v>
      </c>
      <c r="D3196" t="str">
        <f>"CENTRE DE SOINS INFIRMIERS"</f>
        <v>CENTRE DE SOINS INFIRMIERS</v>
      </c>
      <c r="E3196" t="str">
        <f>"UNION MUTUELLE DES COOPERATEURS"</f>
        <v>UNION MUTUELLE DES COOPERATEURS</v>
      </c>
      <c r="F3196" t="str">
        <f>"11 BOULEVARD PIERRE BROSSOLETTE"</f>
        <v>11 BOULEVARD PIERRE BROSSOLETTE</v>
      </c>
      <c r="H3196" t="str">
        <f>"87200"</f>
        <v>87200</v>
      </c>
      <c r="I3196" t="str">
        <f>"ST JUNIEN"</f>
        <v>ST JUNIEN</v>
      </c>
      <c r="J3196" t="str">
        <f>"05 55 43 07 00 "</f>
        <v xml:space="preserve">05 55 43 07 00 </v>
      </c>
      <c r="K3196" t="str">
        <f>"05 55 43 07 09"</f>
        <v>05 55 43 07 09</v>
      </c>
      <c r="L3196" s="1">
        <v>13244</v>
      </c>
      <c r="M3196" t="str">
        <f t="shared" si="441"/>
        <v>124</v>
      </c>
      <c r="N3196" t="str">
        <f t="shared" si="442"/>
        <v>Centre de Santé</v>
      </c>
      <c r="O3196" t="str">
        <f>"47"</f>
        <v>47</v>
      </c>
      <c r="P3196" t="str">
        <f>"Société Mutualiste"</f>
        <v>Société Mutualiste</v>
      </c>
      <c r="Q3196" t="str">
        <f t="shared" si="443"/>
        <v>36</v>
      </c>
      <c r="R3196" t="str">
        <f t="shared" si="444"/>
        <v>Tarifs conventionnels assurance maladie</v>
      </c>
      <c r="U3196" t="str">
        <f>"870006665"</f>
        <v>870006665</v>
      </c>
    </row>
    <row r="3197" spans="1:21" x14ac:dyDescent="0.3">
      <c r="A3197" t="str">
        <f>"030781439"</f>
        <v>030781439</v>
      </c>
      <c r="B3197" t="str">
        <f>"529 451 759 00029"</f>
        <v>529 451 759 00029</v>
      </c>
      <c r="D3197" t="str">
        <f>"CENTRE DE SANTE DENTAIRE MUTUALISTE"</f>
        <v>CENTRE DE SANTE DENTAIRE MUTUALISTE</v>
      </c>
      <c r="E3197" t="str">
        <f>"IMMEUBLE MOULIN MONCEAU"</f>
        <v>IMMEUBLE MOULIN MONCEAU</v>
      </c>
      <c r="F3197" t="str">
        <f>"7 RUE DU 11 NOVEMBRE"</f>
        <v>7 RUE DU 11 NOVEMBRE</v>
      </c>
      <c r="H3197" t="str">
        <f>"03200"</f>
        <v>03200</v>
      </c>
      <c r="I3197" t="str">
        <f>"VICHY"</f>
        <v>VICHY</v>
      </c>
      <c r="J3197" t="str">
        <f>"04 70 98 47 14 "</f>
        <v xml:space="preserve">04 70 98 47 14 </v>
      </c>
      <c r="K3197" t="str">
        <f>"04 70 98 03 05"</f>
        <v>04 70 98 03 05</v>
      </c>
      <c r="L3197" s="1">
        <v>13150</v>
      </c>
      <c r="M3197" t="str">
        <f t="shared" si="441"/>
        <v>124</v>
      </c>
      <c r="N3197" t="str">
        <f t="shared" si="442"/>
        <v>Centre de Santé</v>
      </c>
      <c r="O3197" t="str">
        <f>"47"</f>
        <v>47</v>
      </c>
      <c r="P3197" t="str">
        <f>"Société Mutualiste"</f>
        <v>Société Mutualiste</v>
      </c>
      <c r="Q3197" t="str">
        <f t="shared" si="443"/>
        <v>36</v>
      </c>
      <c r="R3197" t="str">
        <f t="shared" si="444"/>
        <v>Tarifs conventionnels assurance maladie</v>
      </c>
      <c r="U3197" t="str">
        <f>"030007025"</f>
        <v>030007025</v>
      </c>
    </row>
    <row r="3198" spans="1:21" x14ac:dyDescent="0.3">
      <c r="A3198" t="str">
        <f>"510000714"</f>
        <v>510000714</v>
      </c>
      <c r="B3198" t="str">
        <f>"312 517 980 00057"</f>
        <v>312 517 980 00057</v>
      </c>
      <c r="D3198" t="str">
        <f>"CENTRE DE SOINS INFIRMIERS LOUVOIS"</f>
        <v>CENTRE DE SOINS INFIRMIERS LOUVOIS</v>
      </c>
      <c r="F3198" t="str">
        <f>"88 RUE LEDRU ROLLIN"</f>
        <v>88 RUE LEDRU ROLLIN</v>
      </c>
      <c r="H3198" t="str">
        <f>"51100"</f>
        <v>51100</v>
      </c>
      <c r="I3198" t="str">
        <f>"REIMS"</f>
        <v>REIMS</v>
      </c>
      <c r="J3198" t="str">
        <f>"03 26 06 56 00 "</f>
        <v xml:space="preserve">03 26 06 56 00 </v>
      </c>
      <c r="L3198" s="1">
        <v>13150</v>
      </c>
      <c r="M3198" t="str">
        <f t="shared" si="441"/>
        <v>124</v>
      </c>
      <c r="N3198" t="str">
        <f t="shared" si="442"/>
        <v>Centre de Santé</v>
      </c>
      <c r="O3198" t="str">
        <f>"60"</f>
        <v>60</v>
      </c>
      <c r="P3198" t="str">
        <f>"Association Loi 1901 non Reconnue d'Utilité Publique"</f>
        <v>Association Loi 1901 non Reconnue d'Utilité Publique</v>
      </c>
      <c r="Q3198" t="str">
        <f t="shared" si="443"/>
        <v>36</v>
      </c>
      <c r="R3198" t="str">
        <f t="shared" si="444"/>
        <v>Tarifs conventionnels assurance maladie</v>
      </c>
      <c r="U3198" t="str">
        <f>"510001084"</f>
        <v>510001084</v>
      </c>
    </row>
    <row r="3199" spans="1:21" x14ac:dyDescent="0.3">
      <c r="A3199" t="str">
        <f>"940010028"</f>
        <v>940010028</v>
      </c>
      <c r="B3199" t="str">
        <f>"219 400 033 00227"</f>
        <v>219 400 033 00227</v>
      </c>
      <c r="D3199" t="str">
        <f>"CDS MUNICIPAL MARCEL TRIGON"</f>
        <v>CDS MUNICIPAL MARCEL TRIGON</v>
      </c>
      <c r="F3199" t="str">
        <f>"13 AVENUE DU CHAPERON VERT"</f>
        <v>13 AVENUE DU CHAPERON VERT</v>
      </c>
      <c r="H3199" t="str">
        <f>"94110"</f>
        <v>94110</v>
      </c>
      <c r="I3199" t="str">
        <f>"ARCUEIL"</f>
        <v>ARCUEIL</v>
      </c>
      <c r="J3199" t="str">
        <f>"01 46 15 08 09 "</f>
        <v xml:space="preserve">01 46 15 08 09 </v>
      </c>
      <c r="K3199" t="str">
        <f>"01 46 15 08 13"</f>
        <v>01 46 15 08 13</v>
      </c>
      <c r="L3199" s="1">
        <v>13150</v>
      </c>
      <c r="M3199" t="str">
        <f t="shared" si="441"/>
        <v>124</v>
      </c>
      <c r="N3199" t="str">
        <f t="shared" si="442"/>
        <v>Centre de Santé</v>
      </c>
      <c r="O3199" t="str">
        <f>"03"</f>
        <v>03</v>
      </c>
      <c r="P3199" t="str">
        <f>"Commune"</f>
        <v>Commune</v>
      </c>
      <c r="Q3199" t="str">
        <f t="shared" si="443"/>
        <v>36</v>
      </c>
      <c r="R3199" t="str">
        <f t="shared" si="444"/>
        <v>Tarifs conventionnels assurance maladie</v>
      </c>
      <c r="U3199" t="str">
        <f>"940806169"</f>
        <v>940806169</v>
      </c>
    </row>
    <row r="3200" spans="1:21" x14ac:dyDescent="0.3">
      <c r="A3200" t="str">
        <f>"940020217"</f>
        <v>940020217</v>
      </c>
      <c r="B3200" t="str">
        <f>"219 400 371 00205"</f>
        <v>219 400 371 00205</v>
      </c>
      <c r="D3200" t="str">
        <f>"CDS MUNICIPAL DE SANTE DE GENTILLY"</f>
        <v>CDS MUNICIPAL DE SANTE DE GENTILLY</v>
      </c>
      <c r="F3200" t="str">
        <f>"6 RUE DU DOCTEUR TENINE"</f>
        <v>6 RUE DU DOCTEUR TENINE</v>
      </c>
      <c r="H3200" t="str">
        <f>"94250"</f>
        <v>94250</v>
      </c>
      <c r="I3200" t="str">
        <f>"GENTILLY"</f>
        <v>GENTILLY</v>
      </c>
      <c r="J3200" t="str">
        <f>"01 47 40 58 59 "</f>
        <v xml:space="preserve">01 47 40 58 59 </v>
      </c>
      <c r="K3200" t="str">
        <f>"01 47 40 58 44"</f>
        <v>01 47 40 58 44</v>
      </c>
      <c r="L3200" s="1">
        <v>12839</v>
      </c>
      <c r="M3200" t="str">
        <f t="shared" si="441"/>
        <v>124</v>
      </c>
      <c r="N3200" t="str">
        <f t="shared" si="442"/>
        <v>Centre de Santé</v>
      </c>
      <c r="O3200" t="str">
        <f>"17"</f>
        <v>17</v>
      </c>
      <c r="P3200" t="str">
        <f>"Centre Communal d'Action Sociale"</f>
        <v>Centre Communal d'Action Sociale</v>
      </c>
      <c r="Q3200" t="str">
        <f t="shared" si="443"/>
        <v>36</v>
      </c>
      <c r="R3200" t="str">
        <f t="shared" si="444"/>
        <v>Tarifs conventionnels assurance maladie</v>
      </c>
      <c r="U3200" t="str">
        <f>"940806896"</f>
        <v>940806896</v>
      </c>
    </row>
    <row r="3201" spans="1:21" x14ac:dyDescent="0.3">
      <c r="A3201" t="str">
        <f>"250002573"</f>
        <v>250002573</v>
      </c>
      <c r="B3201" t="str">
        <f>"778 353 359 00053"</f>
        <v>778 353 359 00053</v>
      </c>
      <c r="D3201" t="str">
        <f>"CENTRE SANTE INFIRMIER ADMR VALDAHON"</f>
        <v>CENTRE SANTE INFIRMIER ADMR VALDAHON</v>
      </c>
      <c r="F3201" t="str">
        <f>"50 GRANDE RUE"</f>
        <v>50 GRANDE RUE</v>
      </c>
      <c r="H3201" t="str">
        <f>"25800"</f>
        <v>25800</v>
      </c>
      <c r="I3201" t="str">
        <f>"VALDAHON"</f>
        <v>VALDAHON</v>
      </c>
      <c r="J3201" t="str">
        <f>"03 81 56 22 62 "</f>
        <v xml:space="preserve">03 81 56 22 62 </v>
      </c>
      <c r="K3201" t="str">
        <f>"03 81 56 49 88"</f>
        <v>03 81 56 49 88</v>
      </c>
      <c r="L3201" s="1">
        <v>12785</v>
      </c>
      <c r="M3201" t="str">
        <f t="shared" si="441"/>
        <v>124</v>
      </c>
      <c r="N3201" t="str">
        <f t="shared" si="442"/>
        <v>Centre de Santé</v>
      </c>
      <c r="O3201" t="str">
        <f>"60"</f>
        <v>60</v>
      </c>
      <c r="P3201" t="str">
        <f>"Association Loi 1901 non Reconnue d'Utilité Publique"</f>
        <v>Association Loi 1901 non Reconnue d'Utilité Publique</v>
      </c>
      <c r="Q3201" t="str">
        <f t="shared" si="443"/>
        <v>36</v>
      </c>
      <c r="R3201" t="str">
        <f t="shared" si="444"/>
        <v>Tarifs conventionnels assurance maladie</v>
      </c>
      <c r="U3201" t="str">
        <f>"250001070"</f>
        <v>250001070</v>
      </c>
    </row>
    <row r="3202" spans="1:21" x14ac:dyDescent="0.3">
      <c r="A3202" t="str">
        <f>"920010329"</f>
        <v>920010329</v>
      </c>
      <c r="B3202" t="str">
        <f>"269 200 408 00046"</f>
        <v>269 200 408 00046</v>
      </c>
      <c r="D3202" t="str">
        <f>"CDS MUNICIPAL GENNEVILLIERS"</f>
        <v>CDS MUNICIPAL GENNEVILLIERS</v>
      </c>
      <c r="F3202" t="str">
        <f>"3 RUE DE LA PAIX"</f>
        <v>3 RUE DE LA PAIX</v>
      </c>
      <c r="H3202" t="str">
        <f>"92231"</f>
        <v>92231</v>
      </c>
      <c r="I3202" t="str">
        <f>"GENNEVILLIERS CEDEX"</f>
        <v>GENNEVILLIERS CEDEX</v>
      </c>
      <c r="J3202" t="str">
        <f>"01 40 85 66 50 "</f>
        <v xml:space="preserve">01 40 85 66 50 </v>
      </c>
      <c r="K3202" t="str">
        <f>"01 40 85 66 89"</f>
        <v>01 40 85 66 89</v>
      </c>
      <c r="L3202" s="1">
        <v>12785</v>
      </c>
      <c r="M3202" t="str">
        <f t="shared" ref="M3202:M3251" si="445">"124"</f>
        <v>124</v>
      </c>
      <c r="N3202" t="str">
        <f t="shared" ref="N3202:N3251" si="446">"Centre de Santé"</f>
        <v>Centre de Santé</v>
      </c>
      <c r="O3202" t="str">
        <f>"17"</f>
        <v>17</v>
      </c>
      <c r="P3202" t="str">
        <f>"Centre Communal d'Action Sociale"</f>
        <v>Centre Communal d'Action Sociale</v>
      </c>
      <c r="Q3202" t="str">
        <f t="shared" si="443"/>
        <v>36</v>
      </c>
      <c r="R3202" t="str">
        <f t="shared" si="444"/>
        <v>Tarifs conventionnels assurance maladie</v>
      </c>
      <c r="U3202" t="str">
        <f>"920807708"</f>
        <v>920807708</v>
      </c>
    </row>
    <row r="3203" spans="1:21" x14ac:dyDescent="0.3">
      <c r="A3203" t="str">
        <f>"030781447"</f>
        <v>030781447</v>
      </c>
      <c r="B3203" t="str">
        <f>"529 451 759 00136"</f>
        <v>529 451 759 00136</v>
      </c>
      <c r="D3203" t="str">
        <f>"CENTRE DE SANTE DENTAIRE MUTUALISTE"</f>
        <v>CENTRE DE SANTE DENTAIRE MUTUALISTE</v>
      </c>
      <c r="F3203" t="str">
        <f>"19 RUE DE VOUROUX"</f>
        <v>19 RUE DE VOUROUX</v>
      </c>
      <c r="H3203" t="str">
        <f>"03150"</f>
        <v>03150</v>
      </c>
      <c r="I3203" t="str">
        <f>"VARENNES SUR ALLIER"</f>
        <v>VARENNES SUR ALLIER</v>
      </c>
      <c r="J3203" t="str">
        <f>"04 70 45 08 02 "</f>
        <v xml:space="preserve">04 70 45 08 02 </v>
      </c>
      <c r="L3203" s="1">
        <v>12420</v>
      </c>
      <c r="M3203" t="str">
        <f t="shared" si="445"/>
        <v>124</v>
      </c>
      <c r="N3203" t="str">
        <f t="shared" si="446"/>
        <v>Centre de Santé</v>
      </c>
      <c r="O3203" t="str">
        <f>"47"</f>
        <v>47</v>
      </c>
      <c r="P3203" t="str">
        <f>"Société Mutualiste"</f>
        <v>Société Mutualiste</v>
      </c>
      <c r="Q3203" t="str">
        <f t="shared" si="443"/>
        <v>36</v>
      </c>
      <c r="R3203" t="str">
        <f t="shared" si="444"/>
        <v>Tarifs conventionnels assurance maladie</v>
      </c>
      <c r="U3203" t="str">
        <f>"030007025"</f>
        <v>030007025</v>
      </c>
    </row>
    <row r="3204" spans="1:21" x14ac:dyDescent="0.3">
      <c r="A3204" t="str">
        <f>"030781421"</f>
        <v>030781421</v>
      </c>
      <c r="B3204" t="str">
        <f>"529 451 759 00052"</f>
        <v>529 451 759 00052</v>
      </c>
      <c r="D3204" t="str">
        <f>"CENTRE DE SANTE DENTAIRE MUTUALISTE"</f>
        <v>CENTRE DE SANTE DENTAIRE MUTUALISTE</v>
      </c>
      <c r="F3204" t="str">
        <f>"1 RUE DE LA BATTERIE"</f>
        <v>1 RUE DE LA BATTERIE</v>
      </c>
      <c r="H3204" t="str">
        <f>"03000"</f>
        <v>03000</v>
      </c>
      <c r="I3204" t="str">
        <f>"MOULINS"</f>
        <v>MOULINS</v>
      </c>
      <c r="J3204" t="str">
        <f>"04 70 46 83 19 "</f>
        <v xml:space="preserve">04 70 46 83 19 </v>
      </c>
      <c r="K3204" t="str">
        <f>"04 70 46 69 66"</f>
        <v>04 70 46 69 66</v>
      </c>
      <c r="L3204" s="1">
        <v>12328</v>
      </c>
      <c r="M3204" t="str">
        <f t="shared" si="445"/>
        <v>124</v>
      </c>
      <c r="N3204" t="str">
        <f t="shared" si="446"/>
        <v>Centre de Santé</v>
      </c>
      <c r="O3204" t="str">
        <f>"47"</f>
        <v>47</v>
      </c>
      <c r="P3204" t="str">
        <f>"Société Mutualiste"</f>
        <v>Société Mutualiste</v>
      </c>
      <c r="Q3204" t="str">
        <f t="shared" si="443"/>
        <v>36</v>
      </c>
      <c r="R3204" t="str">
        <f t="shared" si="444"/>
        <v>Tarifs conventionnels assurance maladie</v>
      </c>
      <c r="U3204" t="str">
        <f>"030007025"</f>
        <v>030007025</v>
      </c>
    </row>
    <row r="3205" spans="1:21" x14ac:dyDescent="0.3">
      <c r="A3205" t="str">
        <f>"920010493"</f>
        <v>920010493</v>
      </c>
      <c r="B3205" t="str">
        <f>"219 200 490 00304"</f>
        <v>219 200 490 00304</v>
      </c>
      <c r="D3205" t="str">
        <f>"CDS MUNICIPAL MONTROUGE"</f>
        <v>CDS MUNICIPAL MONTROUGE</v>
      </c>
      <c r="F3205" t="str">
        <f>"5 RUE AMAURY DUVAL"</f>
        <v>5 RUE AMAURY DUVAL</v>
      </c>
      <c r="H3205" t="str">
        <f>"92120"</f>
        <v>92120</v>
      </c>
      <c r="I3205" t="str">
        <f>"MONTROUGE"</f>
        <v>MONTROUGE</v>
      </c>
      <c r="J3205" t="str">
        <f>"01 46 12 74 09 "</f>
        <v xml:space="preserve">01 46 12 74 09 </v>
      </c>
      <c r="K3205" t="str">
        <f>"01 46 12 74 08"</f>
        <v>01 46 12 74 08</v>
      </c>
      <c r="L3205" s="1">
        <v>12176</v>
      </c>
      <c r="M3205" t="str">
        <f t="shared" si="445"/>
        <v>124</v>
      </c>
      <c r="N3205" t="str">
        <f t="shared" si="446"/>
        <v>Centre de Santé</v>
      </c>
      <c r="O3205" t="str">
        <f>"03"</f>
        <v>03</v>
      </c>
      <c r="P3205" t="str">
        <f>"Commune"</f>
        <v>Commune</v>
      </c>
      <c r="Q3205" t="str">
        <f t="shared" si="443"/>
        <v>36</v>
      </c>
      <c r="R3205" t="str">
        <f t="shared" si="444"/>
        <v>Tarifs conventionnels assurance maladie</v>
      </c>
      <c r="U3205" t="str">
        <f>"920807765"</f>
        <v>920807765</v>
      </c>
    </row>
    <row r="3206" spans="1:21" x14ac:dyDescent="0.3">
      <c r="A3206" t="str">
        <f>"700780539"</f>
        <v>700780539</v>
      </c>
      <c r="B3206" t="str">
        <f>"778 516 708 00022"</f>
        <v>778 516 708 00022</v>
      </c>
      <c r="D3206" t="str">
        <f>"CENTRE SOINS INFIRMIERS JUSSEY"</f>
        <v>CENTRE SOINS INFIRMIERS JUSSEY</v>
      </c>
      <c r="F3206" t="str">
        <f>"33 RUE DE L'HOTEL DE VILLE"</f>
        <v>33 RUE DE L'HOTEL DE VILLE</v>
      </c>
      <c r="H3206" t="str">
        <f>"70500"</f>
        <v>70500</v>
      </c>
      <c r="I3206" t="str">
        <f>"JUSSEY"</f>
        <v>JUSSEY</v>
      </c>
      <c r="J3206" t="str">
        <f>"03 84 68 12 90 "</f>
        <v xml:space="preserve">03 84 68 12 90 </v>
      </c>
      <c r="K3206" t="str">
        <f>"03 84 92 26 26"</f>
        <v>03 84 92 26 26</v>
      </c>
      <c r="L3206" s="1">
        <v>12175</v>
      </c>
      <c r="M3206" t="str">
        <f t="shared" si="445"/>
        <v>124</v>
      </c>
      <c r="N3206" t="str">
        <f t="shared" si="446"/>
        <v>Centre de Santé</v>
      </c>
      <c r="O3206" t="str">
        <f>"60"</f>
        <v>60</v>
      </c>
      <c r="P3206" t="str">
        <f>"Association Loi 1901 non Reconnue d'Utilité Publique"</f>
        <v>Association Loi 1901 non Reconnue d'Utilité Publique</v>
      </c>
      <c r="Q3206" t="str">
        <f t="shared" si="443"/>
        <v>36</v>
      </c>
      <c r="R3206" t="str">
        <f t="shared" si="444"/>
        <v>Tarifs conventionnels assurance maladie</v>
      </c>
      <c r="U3206" t="str">
        <f>"700000383"</f>
        <v>700000383</v>
      </c>
    </row>
    <row r="3207" spans="1:21" x14ac:dyDescent="0.3">
      <c r="A3207" t="str">
        <f>"700780448"</f>
        <v>700780448</v>
      </c>
      <c r="B3207" t="str">
        <f>"332 776 558 00022"</f>
        <v>332 776 558 00022</v>
      </c>
      <c r="D3207" t="str">
        <f>"CENTRE SOINS INFIRMIERS PORT SUR SAONE"</f>
        <v>CENTRE SOINS INFIRMIERS PORT SUR SAONE</v>
      </c>
      <c r="F3207" t="str">
        <f>"16 RUE GILBERTE LAVAIRE"</f>
        <v>16 RUE GILBERTE LAVAIRE</v>
      </c>
      <c r="H3207" t="str">
        <f>"70170"</f>
        <v>70170</v>
      </c>
      <c r="I3207" t="str">
        <f>"PORT SUR SAONE"</f>
        <v>PORT SUR SAONE</v>
      </c>
      <c r="J3207" t="str">
        <f>"03 84 91 50 90 "</f>
        <v xml:space="preserve">03 84 91 50 90 </v>
      </c>
      <c r="K3207" t="str">
        <f>"03 84 78 12 68"</f>
        <v>03 84 78 12 68</v>
      </c>
      <c r="L3207" s="1">
        <v>12055</v>
      </c>
      <c r="M3207" t="str">
        <f t="shared" si="445"/>
        <v>124</v>
      </c>
      <c r="N3207" t="str">
        <f t="shared" si="446"/>
        <v>Centre de Santé</v>
      </c>
      <c r="O3207" t="str">
        <f>"60"</f>
        <v>60</v>
      </c>
      <c r="P3207" t="str">
        <f>"Association Loi 1901 non Reconnue d'Utilité Publique"</f>
        <v>Association Loi 1901 non Reconnue d'Utilité Publique</v>
      </c>
      <c r="Q3207" t="str">
        <f t="shared" si="443"/>
        <v>36</v>
      </c>
      <c r="R3207" t="str">
        <f t="shared" si="444"/>
        <v>Tarifs conventionnels assurance maladie</v>
      </c>
      <c r="U3207" t="str">
        <f>"700000433"</f>
        <v>700000433</v>
      </c>
    </row>
    <row r="3208" spans="1:21" x14ac:dyDescent="0.3">
      <c r="A3208" t="str">
        <f>"920010659"</f>
        <v>920010659</v>
      </c>
      <c r="B3208" t="str">
        <f>"775 672 272 00405"</f>
        <v>775 672 272 00405</v>
      </c>
      <c r="D3208" t="str">
        <f>"CDS MEDICO SOCIAL CROIX ROUGE"</f>
        <v>CDS MEDICO SOCIAL CROIX ROUGE</v>
      </c>
      <c r="F3208" t="str">
        <f>"196 BOULEVARD GALLIENI"</f>
        <v>196 BOULEVARD GALLIENI</v>
      </c>
      <c r="H3208" t="str">
        <f>"92390"</f>
        <v>92390</v>
      </c>
      <c r="I3208" t="str">
        <f>"VILLENEUVE LA GARENNE"</f>
        <v>VILLENEUVE LA GARENNE</v>
      </c>
      <c r="J3208" t="str">
        <f>"01 41 21 41 21 "</f>
        <v xml:space="preserve">01 41 21 41 21 </v>
      </c>
      <c r="K3208" t="str">
        <f>"01 41 21 41 39"</f>
        <v>01 41 21 41 39</v>
      </c>
      <c r="L3208" s="1">
        <v>11689</v>
      </c>
      <c r="M3208" t="str">
        <f t="shared" si="445"/>
        <v>124</v>
      </c>
      <c r="N3208" t="str">
        <f t="shared" si="446"/>
        <v>Centre de Santé</v>
      </c>
      <c r="O3208" t="str">
        <f>"61"</f>
        <v>61</v>
      </c>
      <c r="P3208" t="str">
        <f>"Association Loi 1901 Reconnue d'Utilité Publique"</f>
        <v>Association Loi 1901 Reconnue d'Utilité Publique</v>
      </c>
      <c r="Q3208" t="str">
        <f t="shared" si="443"/>
        <v>36</v>
      </c>
      <c r="R3208" t="str">
        <f t="shared" si="444"/>
        <v>Tarifs conventionnels assurance maladie</v>
      </c>
      <c r="U3208" t="str">
        <f>"750721334"</f>
        <v>750721334</v>
      </c>
    </row>
    <row r="3209" spans="1:21" x14ac:dyDescent="0.3">
      <c r="A3209" t="str">
        <f>"680000791"</f>
        <v>680000791</v>
      </c>
      <c r="B3209" t="str">
        <f>"778 955 823 00035"</f>
        <v>778 955 823 00035</v>
      </c>
      <c r="D3209" t="str">
        <f>"CENTRE DE SANTE INFIRMIER"</f>
        <v>CENTRE DE SANTE INFIRMIER</v>
      </c>
      <c r="F3209" t="str">
        <f>"3 PLACE DE LA SALLE DES FETES"</f>
        <v>3 PLACE DE LA SALLE DES FETES</v>
      </c>
      <c r="H3209" t="str">
        <f>"68140"</f>
        <v>68140</v>
      </c>
      <c r="I3209" t="str">
        <f>"MUNSTER"</f>
        <v>MUNSTER</v>
      </c>
      <c r="J3209" t="str">
        <f>"03 89 77 33 81 "</f>
        <v xml:space="preserve">03 89 77 33 81 </v>
      </c>
      <c r="L3209" s="1">
        <v>11478</v>
      </c>
      <c r="M3209" t="str">
        <f t="shared" si="445"/>
        <v>124</v>
      </c>
      <c r="N3209" t="str">
        <f t="shared" si="446"/>
        <v>Centre de Santé</v>
      </c>
      <c r="O3209" t="str">
        <f>"61"</f>
        <v>61</v>
      </c>
      <c r="P3209" t="str">
        <f>"Association Loi 1901 Reconnue d'Utilité Publique"</f>
        <v>Association Loi 1901 Reconnue d'Utilité Publique</v>
      </c>
      <c r="Q3209" t="str">
        <f t="shared" si="443"/>
        <v>36</v>
      </c>
      <c r="R3209" t="str">
        <f t="shared" si="444"/>
        <v>Tarifs conventionnels assurance maladie</v>
      </c>
      <c r="U3209" t="str">
        <f>"680000676"</f>
        <v>680000676</v>
      </c>
    </row>
    <row r="3210" spans="1:21" x14ac:dyDescent="0.3">
      <c r="A3210" t="str">
        <f>"370002636"</f>
        <v>370002636</v>
      </c>
      <c r="B3210" t="str">
        <f>"213 702 335 00281"</f>
        <v>213 702 335 00281</v>
      </c>
      <c r="D3210" t="str">
        <f>"CTRE NUNICIPAL DE SANTE P, ROUQUES"</f>
        <v>CTRE NUNICIPAL DE SANTE P, ROUQUES</v>
      </c>
      <c r="F3210" t="str">
        <f>"12 RUE E ET J ROSENBERG"</f>
        <v>12 RUE E ET J ROSENBERG</v>
      </c>
      <c r="H3210" t="str">
        <f>"37700"</f>
        <v>37700</v>
      </c>
      <c r="I3210" t="str">
        <f>"ST PIERRE DES CORPS"</f>
        <v>ST PIERRE DES CORPS</v>
      </c>
      <c r="J3210" t="str">
        <f>"02 47 63 43 60 "</f>
        <v xml:space="preserve">02 47 63 43 60 </v>
      </c>
      <c r="K3210" t="str">
        <f>"02 47 63 01 20"</f>
        <v>02 47 63 01 20</v>
      </c>
      <c r="L3210" s="1">
        <v>11383</v>
      </c>
      <c r="M3210" t="str">
        <f t="shared" si="445"/>
        <v>124</v>
      </c>
      <c r="N3210" t="str">
        <f t="shared" si="446"/>
        <v>Centre de Santé</v>
      </c>
      <c r="O3210" t="str">
        <f>"03"</f>
        <v>03</v>
      </c>
      <c r="P3210" t="str">
        <f>"Commune"</f>
        <v>Commune</v>
      </c>
      <c r="Q3210" t="str">
        <f t="shared" si="443"/>
        <v>36</v>
      </c>
      <c r="R3210" t="str">
        <f t="shared" si="444"/>
        <v>Tarifs conventionnels assurance maladie</v>
      </c>
      <c r="U3210" t="str">
        <f>"370100968"</f>
        <v>370100968</v>
      </c>
    </row>
    <row r="3211" spans="1:21" x14ac:dyDescent="0.3">
      <c r="A3211" t="str">
        <f>"680002367"</f>
        <v>680002367</v>
      </c>
      <c r="B3211" t="str">
        <f>"317 164 689 00109"</f>
        <v>317 164 689 00109</v>
      </c>
      <c r="D3211" t="str">
        <f>"CTRE DE SOINS BRUNSTATT"</f>
        <v>CTRE DE SOINS BRUNSTATT</v>
      </c>
      <c r="F3211" t="str">
        <f>"5 RUE DE FRANCE"</f>
        <v>5 RUE DE FRANCE</v>
      </c>
      <c r="H3211" t="str">
        <f>"68350"</f>
        <v>68350</v>
      </c>
      <c r="I3211" t="str">
        <f>"BRUNSTATT DIDENHEIM"</f>
        <v>BRUNSTATT DIDENHEIM</v>
      </c>
      <c r="J3211" t="str">
        <f>"03 89 06 13 00 "</f>
        <v xml:space="preserve">03 89 06 13 00 </v>
      </c>
      <c r="K3211" t="str">
        <f>"03 89 61 05 10"</f>
        <v>03 89 61 05 10</v>
      </c>
      <c r="L3211" s="1">
        <v>10928</v>
      </c>
      <c r="M3211" t="str">
        <f t="shared" si="445"/>
        <v>124</v>
      </c>
      <c r="N3211" t="str">
        <f t="shared" si="446"/>
        <v>Centre de Santé</v>
      </c>
      <c r="O3211" t="str">
        <f>"62"</f>
        <v>62</v>
      </c>
      <c r="P3211" t="str">
        <f>"Association de Droit Local"</f>
        <v>Association de Droit Local</v>
      </c>
      <c r="Q3211" t="str">
        <f t="shared" si="443"/>
        <v>36</v>
      </c>
      <c r="R3211" t="str">
        <f t="shared" si="444"/>
        <v>Tarifs conventionnels assurance maladie</v>
      </c>
      <c r="U3211" t="str">
        <f>"680013919"</f>
        <v>680013919</v>
      </c>
    </row>
    <row r="3212" spans="1:21" x14ac:dyDescent="0.3">
      <c r="A3212" t="str">
        <f>"080000383"</f>
        <v>080000383</v>
      </c>
      <c r="B3212" t="str">
        <f>"775 672 272 07871"</f>
        <v>775 672 272 07871</v>
      </c>
      <c r="D3212" t="str">
        <f>"CENTRE DE SOINS INFIRMIERS DE CARIGNAN"</f>
        <v>CENTRE DE SOINS INFIRMIERS DE CARIGNAN</v>
      </c>
      <c r="F3212" t="str">
        <f>"28 RUE DE LA PIECE DU ROY"</f>
        <v>28 RUE DE LA PIECE DU ROY</v>
      </c>
      <c r="H3212" t="str">
        <f>"08110"</f>
        <v>08110</v>
      </c>
      <c r="I3212" t="str">
        <f>"CARIGNAN"</f>
        <v>CARIGNAN</v>
      </c>
      <c r="J3212" t="str">
        <f>"03 24 29 52 34 "</f>
        <v xml:space="preserve">03 24 29 52 34 </v>
      </c>
      <c r="L3212" s="1">
        <v>10594</v>
      </c>
      <c r="M3212" t="str">
        <f t="shared" si="445"/>
        <v>124</v>
      </c>
      <c r="N3212" t="str">
        <f t="shared" si="446"/>
        <v>Centre de Santé</v>
      </c>
      <c r="O3212" t="str">
        <f>"61"</f>
        <v>61</v>
      </c>
      <c r="P3212" t="str">
        <f>"Association Loi 1901 Reconnue d'Utilité Publique"</f>
        <v>Association Loi 1901 Reconnue d'Utilité Publique</v>
      </c>
      <c r="Q3212" t="str">
        <f t="shared" si="443"/>
        <v>36</v>
      </c>
      <c r="R3212" t="str">
        <f t="shared" si="444"/>
        <v>Tarifs conventionnels assurance maladie</v>
      </c>
      <c r="U3212" t="str">
        <f>"750721334"</f>
        <v>750721334</v>
      </c>
    </row>
    <row r="3213" spans="1:21" x14ac:dyDescent="0.3">
      <c r="A3213" t="str">
        <f>"920010246"</f>
        <v>920010246</v>
      </c>
      <c r="B3213" t="str">
        <f>"219 200 243 00331"</f>
        <v>219 200 243 00331</v>
      </c>
      <c r="D3213" t="str">
        <f>"CDS MUNICIPAL CHAGALL GOUIN"</f>
        <v>CDS MUNICIPAL CHAGALL GOUIN</v>
      </c>
      <c r="F3213" t="str">
        <f>"2 RUE GASTON PAYMAL"</f>
        <v>2 RUE GASTON PAYMAL</v>
      </c>
      <c r="H3213" t="str">
        <f>"92110"</f>
        <v>92110</v>
      </c>
      <c r="I3213" t="str">
        <f>"CLICHY"</f>
        <v>CLICHY</v>
      </c>
      <c r="J3213" t="str">
        <f>"01 41 40 93 73 "</f>
        <v xml:space="preserve">01 41 40 93 73 </v>
      </c>
      <c r="K3213" t="str">
        <f>"01 47 37 12 82"</f>
        <v>01 47 37 12 82</v>
      </c>
      <c r="L3213" s="1">
        <v>10322</v>
      </c>
      <c r="M3213" t="str">
        <f t="shared" si="445"/>
        <v>124</v>
      </c>
      <c r="N3213" t="str">
        <f t="shared" si="446"/>
        <v>Centre de Santé</v>
      </c>
      <c r="O3213" t="str">
        <f>"03"</f>
        <v>03</v>
      </c>
      <c r="P3213" t="str">
        <f>"Commune"</f>
        <v>Commune</v>
      </c>
      <c r="Q3213" t="str">
        <f t="shared" si="443"/>
        <v>36</v>
      </c>
      <c r="R3213" t="str">
        <f t="shared" si="444"/>
        <v>Tarifs conventionnels assurance maladie</v>
      </c>
      <c r="U3213" t="str">
        <f>"920807641"</f>
        <v>920807641</v>
      </c>
    </row>
    <row r="3214" spans="1:21" x14ac:dyDescent="0.3">
      <c r="A3214" t="str">
        <f>"250002565"</f>
        <v>250002565</v>
      </c>
      <c r="B3214" t="str">
        <f>"778 345 934 00039"</f>
        <v>778 345 934 00039</v>
      </c>
      <c r="D3214" t="str">
        <f>"CENTRE SANTE INFIRMIER ADMR ROUGEMONT"</f>
        <v>CENTRE SANTE INFIRMIER ADMR ROUGEMONT</v>
      </c>
      <c r="F3214" t="str">
        <f>"19 RUE DE LA GARE"</f>
        <v>19 RUE DE LA GARE</v>
      </c>
      <c r="H3214" t="str">
        <f>"25680"</f>
        <v>25680</v>
      </c>
      <c r="I3214" t="str">
        <f>"ROUGEMONT"</f>
        <v>ROUGEMONT</v>
      </c>
      <c r="J3214" t="str">
        <f>"03 81 86 92 68 "</f>
        <v xml:space="preserve">03 81 86 92 68 </v>
      </c>
      <c r="K3214" t="str">
        <f>"03 81 86 97 72"</f>
        <v>03 81 86 97 72</v>
      </c>
      <c r="L3214" s="1">
        <v>9133</v>
      </c>
      <c r="M3214" t="str">
        <f t="shared" si="445"/>
        <v>124</v>
      </c>
      <c r="N3214" t="str">
        <f t="shared" si="446"/>
        <v>Centre de Santé</v>
      </c>
      <c r="O3214" t="str">
        <f>"60"</f>
        <v>60</v>
      </c>
      <c r="P3214" t="str">
        <f>"Association Loi 1901 non Reconnue d'Utilité Publique"</f>
        <v>Association Loi 1901 non Reconnue d'Utilité Publique</v>
      </c>
      <c r="Q3214" t="str">
        <f t="shared" si="443"/>
        <v>36</v>
      </c>
      <c r="R3214" t="str">
        <f t="shared" si="444"/>
        <v>Tarifs conventionnels assurance maladie</v>
      </c>
      <c r="U3214" t="str">
        <f>"250001369"</f>
        <v>250001369</v>
      </c>
    </row>
    <row r="3215" spans="1:21" x14ac:dyDescent="0.3">
      <c r="A3215" t="str">
        <f>"700780497"</f>
        <v>700780497</v>
      </c>
      <c r="B3215" t="str">
        <f>"306 678 293 00029"</f>
        <v>306 678 293 00029</v>
      </c>
      <c r="D3215" t="str">
        <f>"CENTRE SOINS INFIRMIERS MELISEY"</f>
        <v>CENTRE SOINS INFIRMIERS MELISEY</v>
      </c>
      <c r="F3215" t="str">
        <f>"1 ROUTE DE LA GOULOTTE"</f>
        <v>1 ROUTE DE LA GOULOTTE</v>
      </c>
      <c r="G3215" t="str">
        <f>"ZA LES VERNES"</f>
        <v>ZA LES VERNES</v>
      </c>
      <c r="H3215" t="str">
        <f>"70270"</f>
        <v>70270</v>
      </c>
      <c r="I3215" t="str">
        <f>"MELISEY"</f>
        <v>MELISEY</v>
      </c>
      <c r="J3215" t="str">
        <f>"03 84 20 82 80 "</f>
        <v xml:space="preserve">03 84 20 82 80 </v>
      </c>
      <c r="K3215" t="str">
        <f>"03 84 63 42 49"</f>
        <v>03 84 63 42 49</v>
      </c>
      <c r="L3215" s="1">
        <v>8402</v>
      </c>
      <c r="M3215" t="str">
        <f t="shared" si="445"/>
        <v>124</v>
      </c>
      <c r="N3215" t="str">
        <f t="shared" si="446"/>
        <v>Centre de Santé</v>
      </c>
      <c r="O3215" t="str">
        <f>"60"</f>
        <v>60</v>
      </c>
      <c r="P3215" t="str">
        <f>"Association Loi 1901 non Reconnue d'Utilité Publique"</f>
        <v>Association Loi 1901 non Reconnue d'Utilité Publique</v>
      </c>
      <c r="Q3215" t="str">
        <f t="shared" si="443"/>
        <v>36</v>
      </c>
      <c r="R3215" t="str">
        <f t="shared" si="444"/>
        <v>Tarifs conventionnels assurance maladie</v>
      </c>
      <c r="U3215" t="str">
        <f>"700000417"</f>
        <v>700000417</v>
      </c>
    </row>
    <row r="3216" spans="1:21" x14ac:dyDescent="0.3">
      <c r="A3216" t="str">
        <f>"020004222"</f>
        <v>020004222</v>
      </c>
      <c r="B3216" t="str">
        <f>"775 547 276 00268"</f>
        <v>775 547 276 00268</v>
      </c>
      <c r="D3216" t="str">
        <f>"CSI AMSAM SOISSONS"</f>
        <v>CSI AMSAM SOISSONS</v>
      </c>
      <c r="F3216" t="str">
        <f>"10 AVENUE DU GÉNÉRAL LECLERC"</f>
        <v>10 AVENUE DU GÉNÉRAL LECLERC</v>
      </c>
      <c r="H3216" t="str">
        <f>"02200"</f>
        <v>02200</v>
      </c>
      <c r="I3216" t="str">
        <f>"SOISSONS"</f>
        <v>SOISSONS</v>
      </c>
      <c r="J3216" t="str">
        <f>"03 23 75 51 08 "</f>
        <v xml:space="preserve">03 23 75 51 08 </v>
      </c>
      <c r="K3216" t="str">
        <f>"03 23 75 51 01"</f>
        <v>03 23 75 51 01</v>
      </c>
      <c r="L3216" s="1">
        <v>8127</v>
      </c>
      <c r="M3216" t="str">
        <f t="shared" si="445"/>
        <v>124</v>
      </c>
      <c r="N3216" t="str">
        <f t="shared" si="446"/>
        <v>Centre de Santé</v>
      </c>
      <c r="O3216" t="str">
        <f t="shared" ref="O3216:O3221" si="447">"61"</f>
        <v>61</v>
      </c>
      <c r="P3216" t="str">
        <f t="shared" ref="P3216:P3221" si="448">"Association Loi 1901 Reconnue d'Utilité Publique"</f>
        <v>Association Loi 1901 Reconnue d'Utilité Publique</v>
      </c>
      <c r="Q3216" t="str">
        <f t="shared" si="443"/>
        <v>36</v>
      </c>
      <c r="R3216" t="str">
        <f t="shared" si="444"/>
        <v>Tarifs conventionnels assurance maladie</v>
      </c>
      <c r="U3216" t="str">
        <f>"020005179"</f>
        <v>020005179</v>
      </c>
    </row>
    <row r="3217" spans="1:21" x14ac:dyDescent="0.3">
      <c r="A3217" t="str">
        <f>"250006202"</f>
        <v>250006202</v>
      </c>
      <c r="B3217" t="str">
        <f>"775 571 300 00174"</f>
        <v>775 571 300 00174</v>
      </c>
      <c r="D3217" t="str">
        <f>"CENTRE SANTE AHS FC CIDDIST BESANCON"</f>
        <v>CENTRE SANTE AHS FC CIDDIST BESANCON</v>
      </c>
      <c r="F3217" t="str">
        <f>"15 AVENUE DENFERT ROCHEREAU"</f>
        <v>15 AVENUE DENFERT ROCHEREAU</v>
      </c>
      <c r="H3217" t="str">
        <f>"25000"</f>
        <v>25000</v>
      </c>
      <c r="I3217" t="str">
        <f>"BESANCON"</f>
        <v>BESANCON</v>
      </c>
      <c r="J3217" t="str">
        <f>"03 81 65 44 58 "</f>
        <v xml:space="preserve">03 81 65 44 58 </v>
      </c>
      <c r="L3217" s="1">
        <v>7672</v>
      </c>
      <c r="M3217" t="str">
        <f t="shared" si="445"/>
        <v>124</v>
      </c>
      <c r="N3217" t="str">
        <f t="shared" si="446"/>
        <v>Centre de Santé</v>
      </c>
      <c r="O3217" t="str">
        <f t="shared" si="447"/>
        <v>61</v>
      </c>
      <c r="P3217" t="str">
        <f t="shared" si="448"/>
        <v>Association Loi 1901 Reconnue d'Utilité Publique</v>
      </c>
      <c r="Q3217" t="str">
        <f t="shared" si="443"/>
        <v>36</v>
      </c>
      <c r="R3217" t="str">
        <f t="shared" si="444"/>
        <v>Tarifs conventionnels assurance maladie</v>
      </c>
      <c r="U3217" t="str">
        <f>"250006061"</f>
        <v>250006061</v>
      </c>
    </row>
    <row r="3218" spans="1:21" x14ac:dyDescent="0.3">
      <c r="A3218" t="str">
        <f>"250006210"</f>
        <v>250006210</v>
      </c>
      <c r="B3218" t="str">
        <f>"775 571 300 00042"</f>
        <v>775 571 300 00042</v>
      </c>
      <c r="D3218" t="str">
        <f>"CTRE SANTE AHS FC CIDDIST MONTBELIARD"</f>
        <v>CTRE SANTE AHS FC CIDDIST MONTBELIARD</v>
      </c>
      <c r="F3218" t="str">
        <f>"40 FAUBOURG DE BESANCON"</f>
        <v>40 FAUBOURG DE BESANCON</v>
      </c>
      <c r="H3218" t="str">
        <f>"25200"</f>
        <v>25200</v>
      </c>
      <c r="I3218" t="str">
        <f>"MONTBELIARD"</f>
        <v>MONTBELIARD</v>
      </c>
      <c r="J3218" t="str">
        <f>"03 81 99 37 00 "</f>
        <v xml:space="preserve">03 81 99 37 00 </v>
      </c>
      <c r="L3218" s="1">
        <v>7672</v>
      </c>
      <c r="M3218" t="str">
        <f t="shared" si="445"/>
        <v>124</v>
      </c>
      <c r="N3218" t="str">
        <f t="shared" si="446"/>
        <v>Centre de Santé</v>
      </c>
      <c r="O3218" t="str">
        <f t="shared" si="447"/>
        <v>61</v>
      </c>
      <c r="P3218" t="str">
        <f t="shared" si="448"/>
        <v>Association Loi 1901 Reconnue d'Utilité Publique</v>
      </c>
      <c r="Q3218" t="str">
        <f t="shared" si="443"/>
        <v>36</v>
      </c>
      <c r="R3218" t="str">
        <f t="shared" si="444"/>
        <v>Tarifs conventionnels assurance maladie</v>
      </c>
      <c r="U3218" t="str">
        <f>"250006061"</f>
        <v>250006061</v>
      </c>
    </row>
    <row r="3219" spans="1:21" x14ac:dyDescent="0.3">
      <c r="A3219" t="str">
        <f>"330783838"</f>
        <v>330783838</v>
      </c>
      <c r="B3219" t="str">
        <f>"332 318 575 00021"</f>
        <v>332 318 575 00021</v>
      </c>
      <c r="D3219" t="str">
        <f>"CENTRE DE SOINS INFIRMIERS"</f>
        <v>CENTRE DE SOINS INFIRMIERS</v>
      </c>
      <c r="F3219" t="str">
        <f>"34 COURS GENERAL DE GAULLE"</f>
        <v>34 COURS GENERAL DE GAULLE</v>
      </c>
      <c r="H3219" t="str">
        <f>"33170"</f>
        <v>33170</v>
      </c>
      <c r="I3219" t="str">
        <f>"GRADIGNAN"</f>
        <v>GRADIGNAN</v>
      </c>
      <c r="J3219" t="str">
        <f>"05 56 89 58 67 "</f>
        <v xml:space="preserve">05 56 89 58 67 </v>
      </c>
      <c r="K3219" t="str">
        <f>"05 56 89 88 94"</f>
        <v>05 56 89 88 94</v>
      </c>
      <c r="L3219" s="1">
        <v>7672</v>
      </c>
      <c r="M3219" t="str">
        <f t="shared" si="445"/>
        <v>124</v>
      </c>
      <c r="N3219" t="str">
        <f t="shared" si="446"/>
        <v>Centre de Santé</v>
      </c>
      <c r="O3219" t="str">
        <f t="shared" si="447"/>
        <v>61</v>
      </c>
      <c r="P3219" t="str">
        <f t="shared" si="448"/>
        <v>Association Loi 1901 Reconnue d'Utilité Publique</v>
      </c>
      <c r="Q3219" t="str">
        <f t="shared" si="443"/>
        <v>36</v>
      </c>
      <c r="R3219" t="str">
        <f t="shared" si="444"/>
        <v>Tarifs conventionnels assurance maladie</v>
      </c>
      <c r="U3219" t="str">
        <f>"330793126"</f>
        <v>330793126</v>
      </c>
    </row>
    <row r="3220" spans="1:21" x14ac:dyDescent="0.3">
      <c r="A3220" t="str">
        <f>"920010451"</f>
        <v>920010451</v>
      </c>
      <c r="B3220" t="str">
        <f>"775 726 706 00010"</f>
        <v>775 726 706 00010</v>
      </c>
      <c r="D3220" t="str">
        <f>"CDS DE MALAKOFF"</f>
        <v>CDS DE MALAKOFF</v>
      </c>
      <c r="F3220" t="str">
        <f>"51 RUE GAMBETTA"</f>
        <v>51 RUE GAMBETTA</v>
      </c>
      <c r="H3220" t="str">
        <f>"92240"</f>
        <v>92240</v>
      </c>
      <c r="I3220" t="str">
        <f>"MALAKOFF"</f>
        <v>MALAKOFF</v>
      </c>
      <c r="J3220" t="str">
        <f>"01 44 12 37 85 "</f>
        <v xml:space="preserve">01 44 12 37 85 </v>
      </c>
      <c r="K3220" t="str">
        <f>"01 44 12 88 12"</f>
        <v>01 44 12 88 12</v>
      </c>
      <c r="L3220" s="1">
        <v>6849</v>
      </c>
      <c r="M3220" t="str">
        <f t="shared" si="445"/>
        <v>124</v>
      </c>
      <c r="N3220" t="str">
        <f t="shared" si="446"/>
        <v>Centre de Santé</v>
      </c>
      <c r="O3220" t="str">
        <f t="shared" si="447"/>
        <v>61</v>
      </c>
      <c r="P3220" t="str">
        <f t="shared" si="448"/>
        <v>Association Loi 1901 Reconnue d'Utilité Publique</v>
      </c>
      <c r="Q3220" t="str">
        <f t="shared" si="443"/>
        <v>36</v>
      </c>
      <c r="R3220" t="str">
        <f t="shared" si="444"/>
        <v>Tarifs conventionnels assurance maladie</v>
      </c>
      <c r="U3220" t="str">
        <f>"920000445"</f>
        <v>920000445</v>
      </c>
    </row>
    <row r="3221" spans="1:21" x14ac:dyDescent="0.3">
      <c r="A3221" t="str">
        <f>"920010550"</f>
        <v>920010550</v>
      </c>
      <c r="B3221" t="str">
        <f>"785 426 065 00013"</f>
        <v>785 426 065 00013</v>
      </c>
      <c r="D3221" t="str">
        <f>"CDS MEDICAL SAN FERNANDO"</f>
        <v>CDS MEDICAL SAN FERNANDO</v>
      </c>
      <c r="F3221" t="str">
        <f>"121 BOULEVARD BINEAU"</f>
        <v>121 BOULEVARD BINEAU</v>
      </c>
      <c r="H3221" t="str">
        <f>"92200"</f>
        <v>92200</v>
      </c>
      <c r="I3221" t="str">
        <f>"NEUILLY SUR SEINE"</f>
        <v>NEUILLY SUR SEINE</v>
      </c>
      <c r="J3221" t="str">
        <f>"01 47 47 45 41 "</f>
        <v xml:space="preserve">01 47 47 45 41 </v>
      </c>
      <c r="K3221" t="str">
        <f>"01 47 47 06 81"</f>
        <v>01 47 47 06 81</v>
      </c>
      <c r="L3221" s="1">
        <v>5208</v>
      </c>
      <c r="M3221" t="str">
        <f t="shared" si="445"/>
        <v>124</v>
      </c>
      <c r="N3221" t="str">
        <f t="shared" si="446"/>
        <v>Centre de Santé</v>
      </c>
      <c r="O3221" t="str">
        <f t="shared" si="447"/>
        <v>61</v>
      </c>
      <c r="P3221" t="str">
        <f t="shared" si="448"/>
        <v>Association Loi 1901 Reconnue d'Utilité Publique</v>
      </c>
      <c r="Q3221" t="str">
        <f t="shared" si="443"/>
        <v>36</v>
      </c>
      <c r="R3221" t="str">
        <f t="shared" si="444"/>
        <v>Tarifs conventionnels assurance maladie</v>
      </c>
      <c r="U3221" t="str">
        <f>"920001641"</f>
        <v>920001641</v>
      </c>
    </row>
    <row r="3222" spans="1:21" x14ac:dyDescent="0.3">
      <c r="A3222" t="str">
        <f>"510009376"</f>
        <v>510009376</v>
      </c>
      <c r="B3222" t="str">
        <f>"780 349 833 00530"</f>
        <v>780 349 833 00530</v>
      </c>
      <c r="D3222" t="str">
        <f>"CENTRE DE SANTE MUTUALISTE REIMS"</f>
        <v>CENTRE DE SANTE MUTUALISTE REIMS</v>
      </c>
      <c r="F3222" t="str">
        <f>"11 RUE DES ELUS"</f>
        <v>11 RUE DES ELUS</v>
      </c>
      <c r="H3222" t="str">
        <f>"51100"</f>
        <v>51100</v>
      </c>
      <c r="I3222" t="str">
        <f>"REIMS"</f>
        <v>REIMS</v>
      </c>
      <c r="J3222" t="str">
        <f>"03 26 84 53 99 "</f>
        <v xml:space="preserve">03 26 84 53 99 </v>
      </c>
      <c r="L3222" s="1">
        <v>2349</v>
      </c>
      <c r="M3222" t="str">
        <f t="shared" si="445"/>
        <v>124</v>
      </c>
      <c r="N3222" t="str">
        <f t="shared" si="446"/>
        <v>Centre de Santé</v>
      </c>
      <c r="O3222" t="str">
        <f>"47"</f>
        <v>47</v>
      </c>
      <c r="P3222" t="str">
        <f>"Société Mutualiste"</f>
        <v>Société Mutualiste</v>
      </c>
      <c r="Q3222" t="str">
        <f t="shared" si="443"/>
        <v>36</v>
      </c>
      <c r="R3222" t="str">
        <f t="shared" si="444"/>
        <v>Tarifs conventionnels assurance maladie</v>
      </c>
      <c r="U3222" t="str">
        <f>"510024581"</f>
        <v>510024581</v>
      </c>
    </row>
    <row r="3223" spans="1:21" x14ac:dyDescent="0.3">
      <c r="A3223" t="str">
        <f>"490531654"</f>
        <v>490531654</v>
      </c>
      <c r="B3223" t="str">
        <f>"775 609 555 00211"</f>
        <v>775 609 555 00211</v>
      </c>
      <c r="D3223" t="str">
        <f>"CSI TRELAZE"</f>
        <v>CSI TRELAZE</v>
      </c>
      <c r="F3223" t="str">
        <f>"169 AVENUE DE LA REPUBLIQUE"</f>
        <v>169 AVENUE DE LA REPUBLIQUE</v>
      </c>
      <c r="H3223" t="str">
        <f>"49800"</f>
        <v>49800</v>
      </c>
      <c r="I3223" t="str">
        <f>"TRELAZE"</f>
        <v>TRELAZE</v>
      </c>
      <c r="J3223" t="str">
        <f>"02 41 18 18 71 "</f>
        <v xml:space="preserve">02 41 18 18 71 </v>
      </c>
      <c r="L3223" s="1">
        <v>1557</v>
      </c>
      <c r="M3223" t="str">
        <f t="shared" si="445"/>
        <v>124</v>
      </c>
      <c r="N3223" t="str">
        <f t="shared" si="446"/>
        <v>Centre de Santé</v>
      </c>
      <c r="O3223" t="str">
        <f>"60"</f>
        <v>60</v>
      </c>
      <c r="P3223" t="str">
        <f>"Association Loi 1901 non Reconnue d'Utilité Publique"</f>
        <v>Association Loi 1901 non Reconnue d'Utilité Publique</v>
      </c>
      <c r="Q3223" t="str">
        <f t="shared" si="443"/>
        <v>36</v>
      </c>
      <c r="R3223" t="str">
        <f t="shared" si="444"/>
        <v>Tarifs conventionnels assurance maladie</v>
      </c>
      <c r="U3223" t="str">
        <f>"490535663"</f>
        <v>490535663</v>
      </c>
    </row>
    <row r="3224" spans="1:21" x14ac:dyDescent="0.3">
      <c r="A3224" t="str">
        <f>"120783030"</f>
        <v>120783030</v>
      </c>
      <c r="B3224" t="str">
        <f>"314 978 131 00022"</f>
        <v>314 978 131 00022</v>
      </c>
      <c r="D3224" t="str">
        <f>"CENTRE DE SOINS INFIRMIERS"</f>
        <v>CENTRE DE SOINS INFIRMIERS</v>
      </c>
      <c r="F3224" t="str">
        <f>"4 RUE DU PONT ROMAIN"</f>
        <v>4 RUE DU PONT ROMAIN</v>
      </c>
      <c r="H3224" t="str">
        <f>"12210"</f>
        <v>12210</v>
      </c>
      <c r="I3224" t="str">
        <f>"LAGUIOLE"</f>
        <v>LAGUIOLE</v>
      </c>
      <c r="J3224" t="str">
        <f>"05 65 44 37 18 "</f>
        <v xml:space="preserve">05 65 44 37 18 </v>
      </c>
      <c r="L3224" s="1">
        <v>1556</v>
      </c>
      <c r="M3224" t="str">
        <f t="shared" si="445"/>
        <v>124</v>
      </c>
      <c r="N3224" t="str">
        <f t="shared" si="446"/>
        <v>Centre de Santé</v>
      </c>
      <c r="O3224" t="str">
        <f>"60"</f>
        <v>60</v>
      </c>
      <c r="P3224" t="str">
        <f>"Association Loi 1901 non Reconnue d'Utilité Publique"</f>
        <v>Association Loi 1901 non Reconnue d'Utilité Publique</v>
      </c>
      <c r="Q3224" t="str">
        <f t="shared" si="443"/>
        <v>36</v>
      </c>
      <c r="R3224" t="str">
        <f t="shared" si="444"/>
        <v>Tarifs conventionnels assurance maladie</v>
      </c>
      <c r="U3224" t="str">
        <f>"120784939"</f>
        <v>120784939</v>
      </c>
    </row>
    <row r="3225" spans="1:21" x14ac:dyDescent="0.3">
      <c r="A3225" t="str">
        <f>"120783154"</f>
        <v>120783154</v>
      </c>
      <c r="B3225" t="str">
        <f>"339 305 815 00013"</f>
        <v>339 305 815 00013</v>
      </c>
      <c r="D3225" t="str">
        <f>"ASSOCIATION RASPES ET LEVEZOU"</f>
        <v>ASSOCIATION RASPES ET LEVEZOU</v>
      </c>
      <c r="F3225" t="str">
        <f>"LOTISSEMENT NOTRE DAME DES CHENES"</f>
        <v>LOTISSEMENT NOTRE DAME DES CHENES</v>
      </c>
      <c r="H3225" t="str">
        <f>"12430"</f>
        <v>12430</v>
      </c>
      <c r="I3225" t="str">
        <f>"VILLEFRANCHE DE PANAT"</f>
        <v>VILLEFRANCHE DE PANAT</v>
      </c>
      <c r="J3225" t="str">
        <f>"05 65 46 57 09 "</f>
        <v xml:space="preserve">05 65 46 57 09 </v>
      </c>
      <c r="K3225" t="str">
        <f>"05 65 72 30 43"</f>
        <v>05 65 72 30 43</v>
      </c>
      <c r="L3225" s="1">
        <v>1556</v>
      </c>
      <c r="M3225" t="str">
        <f t="shared" si="445"/>
        <v>124</v>
      </c>
      <c r="N3225" t="str">
        <f t="shared" si="446"/>
        <v>Centre de Santé</v>
      </c>
      <c r="O3225" t="str">
        <f>"60"</f>
        <v>60</v>
      </c>
      <c r="P3225" t="str">
        <f>"Association Loi 1901 non Reconnue d'Utilité Publique"</f>
        <v>Association Loi 1901 non Reconnue d'Utilité Publique</v>
      </c>
      <c r="Q3225" t="str">
        <f t="shared" si="443"/>
        <v>36</v>
      </c>
      <c r="R3225" t="str">
        <f t="shared" si="444"/>
        <v>Tarifs conventionnels assurance maladie</v>
      </c>
      <c r="U3225" t="str">
        <f>"120000633"</f>
        <v>120000633</v>
      </c>
    </row>
    <row r="3226" spans="1:21" x14ac:dyDescent="0.3">
      <c r="A3226" t="str">
        <f>"130796519"</f>
        <v>130796519</v>
      </c>
      <c r="D3226" t="str">
        <f>"CDS OXANCE DE GARDANNE"</f>
        <v>CDS OXANCE DE GARDANNE</v>
      </c>
      <c r="F3226" t="str">
        <f>"5 RUE DES ECOLES"</f>
        <v>5 RUE DES ECOLES</v>
      </c>
      <c r="H3226" t="str">
        <f>"13120"</f>
        <v>13120</v>
      </c>
      <c r="I3226" t="str">
        <f>"GARDANNE"</f>
        <v>GARDANNE</v>
      </c>
      <c r="J3226" t="str">
        <f>"04 42 65 91 91 "</f>
        <v xml:space="preserve">04 42 65 91 91 </v>
      </c>
      <c r="L3226" s="1">
        <v>1556</v>
      </c>
      <c r="M3226" t="str">
        <f t="shared" si="445"/>
        <v>124</v>
      </c>
      <c r="N3226" t="str">
        <f t="shared" si="446"/>
        <v>Centre de Santé</v>
      </c>
      <c r="O3226" t="str">
        <f>"47"</f>
        <v>47</v>
      </c>
      <c r="P3226" t="str">
        <f>"Société Mutualiste"</f>
        <v>Société Mutualiste</v>
      </c>
      <c r="Q3226" t="str">
        <f t="shared" si="443"/>
        <v>36</v>
      </c>
      <c r="R3226" t="str">
        <f t="shared" si="444"/>
        <v>Tarifs conventionnels assurance maladie</v>
      </c>
      <c r="U3226" t="str">
        <f>"690048111"</f>
        <v>690048111</v>
      </c>
    </row>
    <row r="3227" spans="1:21" x14ac:dyDescent="0.3">
      <c r="A3227" t="str">
        <f>"130808041"</f>
        <v>130808041</v>
      </c>
      <c r="D3227" t="str">
        <f>"CSP OXANCE DE MIRAMAS (ZAC ST-SUSPY)"</f>
        <v>CSP OXANCE DE MIRAMAS (ZAC ST-SUSPY)</v>
      </c>
      <c r="E3227" t="str">
        <f>"ZAC SAINT-SUSPY"</f>
        <v>ZAC SAINT-SUSPY</v>
      </c>
      <c r="F3227" t="str">
        <f>"AVENUE JEAN MERMOZ"</f>
        <v>AVENUE JEAN MERMOZ</v>
      </c>
      <c r="H3227" t="str">
        <f>"13140"</f>
        <v>13140</v>
      </c>
      <c r="I3227" t="str">
        <f>"MIRAMAS"</f>
        <v>MIRAMAS</v>
      </c>
      <c r="J3227" t="str">
        <f>"04 90 17 30 60 "</f>
        <v xml:space="preserve">04 90 17 30 60 </v>
      </c>
      <c r="L3227" s="1">
        <v>1556</v>
      </c>
      <c r="M3227" t="str">
        <f t="shared" si="445"/>
        <v>124</v>
      </c>
      <c r="N3227" t="str">
        <f t="shared" si="446"/>
        <v>Centre de Santé</v>
      </c>
      <c r="O3227" t="str">
        <f>"47"</f>
        <v>47</v>
      </c>
      <c r="P3227" t="str">
        <f>"Société Mutualiste"</f>
        <v>Société Mutualiste</v>
      </c>
      <c r="Q3227" t="str">
        <f t="shared" si="443"/>
        <v>36</v>
      </c>
      <c r="R3227" t="str">
        <f t="shared" si="444"/>
        <v>Tarifs conventionnels assurance maladie</v>
      </c>
      <c r="U3227" t="str">
        <f>"690048111"</f>
        <v>690048111</v>
      </c>
    </row>
    <row r="3228" spans="1:21" x14ac:dyDescent="0.3">
      <c r="A3228" t="str">
        <f>"310781927"</f>
        <v>310781927</v>
      </c>
      <c r="B3228" t="str">
        <f>"316 111 731 00048"</f>
        <v>316 111 731 00048</v>
      </c>
      <c r="D3228" t="str">
        <f>"CENTRE DE SOINS"</f>
        <v>CENTRE DE SOINS</v>
      </c>
      <c r="F3228" t="str">
        <f>"FAUBOURG DU PRE COMMUN"</f>
        <v>FAUBOURG DU PRE COMMUN</v>
      </c>
      <c r="H3228" t="str">
        <f>"31230"</f>
        <v>31230</v>
      </c>
      <c r="I3228" t="str">
        <f>"L ISLE EN DODON"</f>
        <v>L ISLE EN DODON</v>
      </c>
      <c r="J3228" t="str">
        <f>"05 61 88 60 52 "</f>
        <v xml:space="preserve">05 61 88 60 52 </v>
      </c>
      <c r="K3228" t="str">
        <f>"05 61 94 44 27"</f>
        <v>05 61 94 44 27</v>
      </c>
      <c r="L3228" s="1">
        <v>1556</v>
      </c>
      <c r="M3228" t="str">
        <f t="shared" si="445"/>
        <v>124</v>
      </c>
      <c r="N3228" t="str">
        <f t="shared" si="446"/>
        <v>Centre de Santé</v>
      </c>
      <c r="O3228" t="str">
        <f>"60"</f>
        <v>60</v>
      </c>
      <c r="P3228" t="str">
        <f>"Association Loi 1901 non Reconnue d'Utilité Publique"</f>
        <v>Association Loi 1901 non Reconnue d'Utilité Publique</v>
      </c>
      <c r="Q3228" t="str">
        <f t="shared" si="443"/>
        <v>36</v>
      </c>
      <c r="R3228" t="str">
        <f t="shared" si="444"/>
        <v>Tarifs conventionnels assurance maladie</v>
      </c>
      <c r="U3228" t="str">
        <f>"310000575"</f>
        <v>310000575</v>
      </c>
    </row>
    <row r="3229" spans="1:21" x14ac:dyDescent="0.3">
      <c r="A3229" t="str">
        <f>"610780686"</f>
        <v>610780686</v>
      </c>
      <c r="B3229" t="str">
        <f>"339 378 697 00058"</f>
        <v>339 378 697 00058</v>
      </c>
      <c r="D3229" t="str">
        <f>"CENTRE DE SANTE INFIRMIER - SEES"</f>
        <v>CENTRE DE SANTE INFIRMIER - SEES</v>
      </c>
      <c r="F3229" t="str">
        <f>"10 RUE AUGUSTE LOUTREUIL"</f>
        <v>10 RUE AUGUSTE LOUTREUIL</v>
      </c>
      <c r="G3229" t="str">
        <f>"BP 66"</f>
        <v>BP 66</v>
      </c>
      <c r="H3229" t="str">
        <f>"61500"</f>
        <v>61500</v>
      </c>
      <c r="I3229" t="str">
        <f>"SEES"</f>
        <v>SEES</v>
      </c>
      <c r="J3229" t="str">
        <f>"02 33 27 18 26 "</f>
        <v xml:space="preserve">02 33 27 18 26 </v>
      </c>
      <c r="K3229" t="str">
        <f>"02 33 27 91 26"</f>
        <v>02 33 27 91 26</v>
      </c>
      <c r="L3229" s="1">
        <v>1556</v>
      </c>
      <c r="M3229" t="str">
        <f t="shared" si="445"/>
        <v>124</v>
      </c>
      <c r="N3229" t="str">
        <f t="shared" si="446"/>
        <v>Centre de Santé</v>
      </c>
      <c r="O3229" t="str">
        <f>"60"</f>
        <v>60</v>
      </c>
      <c r="P3229" t="str">
        <f>"Association Loi 1901 non Reconnue d'Utilité Publique"</f>
        <v>Association Loi 1901 non Reconnue d'Utilité Publique</v>
      </c>
      <c r="Q3229" t="str">
        <f t="shared" si="443"/>
        <v>36</v>
      </c>
      <c r="R3229" t="str">
        <f t="shared" si="444"/>
        <v>Tarifs conventionnels assurance maladie</v>
      </c>
      <c r="U3229" t="str">
        <f>"610003923"</f>
        <v>610003923</v>
      </c>
    </row>
    <row r="3230" spans="1:21" x14ac:dyDescent="0.3">
      <c r="A3230" t="str">
        <f>"610781080"</f>
        <v>610781080</v>
      </c>
      <c r="D3230" t="str">
        <f>"CENTRE DE SOINS INFIRMIERS- TINCHEBRAY"</f>
        <v>CENTRE DE SOINS INFIRMIERS- TINCHEBRAY</v>
      </c>
      <c r="F3230" t="str">
        <f>"5 BOULEVARD DU MIDI"</f>
        <v>5 BOULEVARD DU MIDI</v>
      </c>
      <c r="H3230" t="str">
        <f>"61800"</f>
        <v>61800</v>
      </c>
      <c r="I3230" t="str">
        <f>"TINCHEBRAY BOCAGE"</f>
        <v>TINCHEBRAY BOCAGE</v>
      </c>
      <c r="J3230" t="str">
        <f>"02 33 66 64 75 "</f>
        <v xml:space="preserve">02 33 66 64 75 </v>
      </c>
      <c r="L3230" s="1">
        <v>1556</v>
      </c>
      <c r="M3230" t="str">
        <f t="shared" si="445"/>
        <v>124</v>
      </c>
      <c r="N3230" t="str">
        <f t="shared" si="446"/>
        <v>Centre de Santé</v>
      </c>
      <c r="O3230" t="str">
        <f>"75"</f>
        <v>75</v>
      </c>
      <c r="P3230" t="str">
        <f>"Autre Société"</f>
        <v>Autre Société</v>
      </c>
      <c r="Q3230" t="str">
        <f t="shared" si="443"/>
        <v>36</v>
      </c>
      <c r="R3230" t="str">
        <f t="shared" si="444"/>
        <v>Tarifs conventionnels assurance maladie</v>
      </c>
      <c r="U3230" t="str">
        <f>"610000234"</f>
        <v>610000234</v>
      </c>
    </row>
    <row r="3231" spans="1:21" x14ac:dyDescent="0.3">
      <c r="A3231" t="str">
        <f>"640782330"</f>
        <v>640782330</v>
      </c>
      <c r="B3231" t="str">
        <f>"490 192 507 00070"</f>
        <v>490 192 507 00070</v>
      </c>
      <c r="D3231" t="str">
        <f>"CENTRE DE SOINS INFIRMIERS ARTATZEKO"</f>
        <v>CENTRE DE SOINS INFIRMIERS ARTATZEKO</v>
      </c>
      <c r="E3231" t="str">
        <f>"VILLA CELINE"</f>
        <v>VILLA CELINE</v>
      </c>
      <c r="F3231" t="str">
        <f>"RUE DES TAMARIS"</f>
        <v>RUE DES TAMARIS</v>
      </c>
      <c r="H3231" t="str">
        <f>"64210"</f>
        <v>64210</v>
      </c>
      <c r="I3231" t="str">
        <f>"BIDART"</f>
        <v>BIDART</v>
      </c>
      <c r="J3231" t="str">
        <f>"05 59 54 91 67 "</f>
        <v xml:space="preserve">05 59 54 91 67 </v>
      </c>
      <c r="K3231" t="str">
        <f>"05 59 54 91 67"</f>
        <v>05 59 54 91 67</v>
      </c>
      <c r="L3231" s="1">
        <v>1556</v>
      </c>
      <c r="M3231" t="str">
        <f t="shared" si="445"/>
        <v>124</v>
      </c>
      <c r="N3231" t="str">
        <f t="shared" si="446"/>
        <v>Centre de Santé</v>
      </c>
      <c r="O3231" t="str">
        <f>"60"</f>
        <v>60</v>
      </c>
      <c r="P3231" t="str">
        <f>"Association Loi 1901 non Reconnue d'Utilité Publique"</f>
        <v>Association Loi 1901 non Reconnue d'Utilité Publique</v>
      </c>
      <c r="Q3231" t="str">
        <f t="shared" si="443"/>
        <v>36</v>
      </c>
      <c r="R3231" t="str">
        <f t="shared" si="444"/>
        <v>Tarifs conventionnels assurance maladie</v>
      </c>
      <c r="U3231" t="str">
        <f>"640010328"</f>
        <v>640010328</v>
      </c>
    </row>
    <row r="3232" spans="1:21" x14ac:dyDescent="0.3">
      <c r="A3232" t="str">
        <f>"670781640"</f>
        <v>670781640</v>
      </c>
      <c r="B3232" t="str">
        <f>"775 641 731 00283"</f>
        <v>775 641 731 00283</v>
      </c>
      <c r="D3232" t="str">
        <f>"CSI DES DIACONESSES MEINAU"</f>
        <v>CSI DES DIACONESSES MEINAU</v>
      </c>
      <c r="F3232" t="str">
        <f>"5 RUE CHAMPAGNE"</f>
        <v>5 RUE CHAMPAGNE</v>
      </c>
      <c r="H3232" t="str">
        <f>"67100"</f>
        <v>67100</v>
      </c>
      <c r="I3232" t="str">
        <f>"STRASBOURG"</f>
        <v>STRASBOURG</v>
      </c>
      <c r="J3232" t="str">
        <f>"03 88 79 41 55 "</f>
        <v xml:space="preserve">03 88 79 41 55 </v>
      </c>
      <c r="K3232" t="str">
        <f>"03 88 79 40 69"</f>
        <v>03 88 79 40 69</v>
      </c>
      <c r="L3232" s="1">
        <v>1556</v>
      </c>
      <c r="M3232" t="str">
        <f t="shared" si="445"/>
        <v>124</v>
      </c>
      <c r="N3232" t="str">
        <f t="shared" si="446"/>
        <v>Centre de Santé</v>
      </c>
      <c r="O3232" t="str">
        <f>"61"</f>
        <v>61</v>
      </c>
      <c r="P3232" t="str">
        <f>"Association Loi 1901 Reconnue d'Utilité Publique"</f>
        <v>Association Loi 1901 Reconnue d'Utilité Publique</v>
      </c>
      <c r="Q3232" t="str">
        <f t="shared" si="443"/>
        <v>36</v>
      </c>
      <c r="R3232" t="str">
        <f t="shared" si="444"/>
        <v>Tarifs conventionnels assurance maladie</v>
      </c>
      <c r="U3232" t="str">
        <f>"670000108"</f>
        <v>670000108</v>
      </c>
    </row>
    <row r="3233" spans="1:21" x14ac:dyDescent="0.3">
      <c r="A3233" t="str">
        <f>"670781681"</f>
        <v>670781681</v>
      </c>
      <c r="B3233" t="str">
        <f>"216 704 825 01512"</f>
        <v>216 704 825 01512</v>
      </c>
      <c r="D3233" t="str">
        <f>"CLINIQUE DENTAIRE SCOLAIRE CCAS"</f>
        <v>CLINIQUE DENTAIRE SCOLAIRE CCAS</v>
      </c>
      <c r="F3233" t="str">
        <f>"1 PLACE DE L'ETOILE"</f>
        <v>1 PLACE DE L'ETOILE</v>
      </c>
      <c r="H3233" t="str">
        <f>"67070"</f>
        <v>67070</v>
      </c>
      <c r="I3233" t="str">
        <f>"STRASBOURG CEDEX"</f>
        <v>STRASBOURG CEDEX</v>
      </c>
      <c r="J3233" t="str">
        <f>"03 88 60 90 90 "</f>
        <v xml:space="preserve">03 88 60 90 90 </v>
      </c>
      <c r="L3233" s="1">
        <v>1556</v>
      </c>
      <c r="M3233" t="str">
        <f t="shared" si="445"/>
        <v>124</v>
      </c>
      <c r="N3233" t="str">
        <f t="shared" si="446"/>
        <v>Centre de Santé</v>
      </c>
      <c r="O3233" t="str">
        <f>"17"</f>
        <v>17</v>
      </c>
      <c r="P3233" t="str">
        <f>"Centre Communal d'Action Sociale"</f>
        <v>Centre Communal d'Action Sociale</v>
      </c>
      <c r="Q3233" t="str">
        <f t="shared" si="443"/>
        <v>36</v>
      </c>
      <c r="R3233" t="str">
        <f t="shared" si="444"/>
        <v>Tarifs conventionnels assurance maladie</v>
      </c>
      <c r="U3233" t="str">
        <f>"670792274"</f>
        <v>670792274</v>
      </c>
    </row>
    <row r="3234" spans="1:21" x14ac:dyDescent="0.3">
      <c r="A3234" t="str">
        <f>"670781749"</f>
        <v>670781749</v>
      </c>
      <c r="B3234" t="str">
        <f>"775 641 988 00032"</f>
        <v>775 641 988 00032</v>
      </c>
      <c r="D3234" t="str">
        <f>"CLINIQUE DENTAIRE CPAM STRASBOURG"</f>
        <v>CLINIQUE DENTAIRE CPAM STRASBOURG</v>
      </c>
      <c r="F3234" t="str">
        <f>"21 RUE DE GENEVE"</f>
        <v>21 RUE DE GENEVE</v>
      </c>
      <c r="H3234" t="str">
        <f>"67091"</f>
        <v>67091</v>
      </c>
      <c r="I3234" t="str">
        <f>"STRASBOURG CEDEX"</f>
        <v>STRASBOURG CEDEX</v>
      </c>
      <c r="J3234" t="str">
        <f>"03 88 76 86 66 "</f>
        <v xml:space="preserve">03 88 76 86 66 </v>
      </c>
      <c r="K3234" t="str">
        <f>"03 88 76 86 67"</f>
        <v>03 88 76 86 67</v>
      </c>
      <c r="L3234" s="1">
        <v>1556</v>
      </c>
      <c r="M3234" t="str">
        <f t="shared" si="445"/>
        <v>124</v>
      </c>
      <c r="N3234" t="str">
        <f t="shared" si="446"/>
        <v>Centre de Santé</v>
      </c>
      <c r="O3234" t="str">
        <f>"40"</f>
        <v>40</v>
      </c>
      <c r="P3234" t="str">
        <f>"Régime Général de Sécurité Sociale"</f>
        <v>Régime Général de Sécurité Sociale</v>
      </c>
      <c r="Q3234" t="str">
        <f t="shared" si="443"/>
        <v>36</v>
      </c>
      <c r="R3234" t="str">
        <f t="shared" si="444"/>
        <v>Tarifs conventionnels assurance maladie</v>
      </c>
      <c r="U3234" t="str">
        <f>"670792696"</f>
        <v>670792696</v>
      </c>
    </row>
    <row r="3235" spans="1:21" x14ac:dyDescent="0.3">
      <c r="A3235" t="str">
        <f>"670782499"</f>
        <v>670782499</v>
      </c>
      <c r="B3235" t="str">
        <f>"393 871 009 00014"</f>
        <v>393 871 009 00014</v>
      </c>
      <c r="D3235" t="str">
        <f>"CTRE SOINS INF.THAL MARMOUTIER"</f>
        <v>CTRE SOINS INF.THAL MARMOUTIER</v>
      </c>
      <c r="F3235" t="str">
        <f>"1 RUE BALLERICH"</f>
        <v>1 RUE BALLERICH</v>
      </c>
      <c r="H3235" t="str">
        <f>"67440"</f>
        <v>67440</v>
      </c>
      <c r="I3235" t="str">
        <f>"THAL MARMOUTIER"</f>
        <v>THAL MARMOUTIER</v>
      </c>
      <c r="J3235" t="str">
        <f>"03 88 91 65 45 "</f>
        <v xml:space="preserve">03 88 91 65 45 </v>
      </c>
      <c r="L3235" s="1">
        <v>1556</v>
      </c>
      <c r="M3235" t="str">
        <f t="shared" si="445"/>
        <v>124</v>
      </c>
      <c r="N3235" t="str">
        <f t="shared" si="446"/>
        <v>Centre de Santé</v>
      </c>
      <c r="O3235" t="str">
        <f>"62"</f>
        <v>62</v>
      </c>
      <c r="P3235" t="str">
        <f>"Association de Droit Local"</f>
        <v>Association de Droit Local</v>
      </c>
      <c r="Q3235" t="str">
        <f t="shared" si="443"/>
        <v>36</v>
      </c>
      <c r="R3235" t="str">
        <f t="shared" si="444"/>
        <v>Tarifs conventionnels assurance maladie</v>
      </c>
      <c r="U3235" t="str">
        <f>"670000736"</f>
        <v>670000736</v>
      </c>
    </row>
    <row r="3236" spans="1:21" x14ac:dyDescent="0.3">
      <c r="A3236" t="str">
        <f>"670782788"</f>
        <v>670782788</v>
      </c>
      <c r="B3236" t="str">
        <f>"311 127 781 00020"</f>
        <v>311 127 781 00020</v>
      </c>
      <c r="D3236" t="str">
        <f>"CTRE SOINS INF.SCHWEIGHOUSE/MOD"</f>
        <v>CTRE SOINS INF.SCHWEIGHOUSE/MOD</v>
      </c>
      <c r="F3236" t="str">
        <f>"1 PLACE DU MAIRE WENDLING"</f>
        <v>1 PLACE DU MAIRE WENDLING</v>
      </c>
      <c r="H3236" t="str">
        <f>"67590"</f>
        <v>67590</v>
      </c>
      <c r="I3236" t="str">
        <f>"SCHWEIGHOUSE SUR MODER"</f>
        <v>SCHWEIGHOUSE SUR MODER</v>
      </c>
      <c r="J3236" t="str">
        <f>"03 88 72 67 90 "</f>
        <v xml:space="preserve">03 88 72 67 90 </v>
      </c>
      <c r="K3236" t="str">
        <f>"03 88 72 67 90"</f>
        <v>03 88 72 67 90</v>
      </c>
      <c r="L3236" s="1">
        <v>1556</v>
      </c>
      <c r="M3236" t="str">
        <f t="shared" si="445"/>
        <v>124</v>
      </c>
      <c r="N3236" t="str">
        <f t="shared" si="446"/>
        <v>Centre de Santé</v>
      </c>
      <c r="O3236" t="str">
        <f>"63"</f>
        <v>63</v>
      </c>
      <c r="P3236" t="str">
        <f>"Fondation"</f>
        <v>Fondation</v>
      </c>
      <c r="Q3236" t="str">
        <f t="shared" si="443"/>
        <v>36</v>
      </c>
      <c r="R3236" t="str">
        <f t="shared" si="444"/>
        <v>Tarifs conventionnels assurance maladie</v>
      </c>
      <c r="U3236" t="str">
        <f>"670000785"</f>
        <v>670000785</v>
      </c>
    </row>
    <row r="3237" spans="1:21" x14ac:dyDescent="0.3">
      <c r="A3237" t="str">
        <f>"670782911"</f>
        <v>670782911</v>
      </c>
      <c r="B3237" t="str">
        <f>"311 127 781 00129"</f>
        <v>311 127 781 00129</v>
      </c>
      <c r="D3237" t="str">
        <f>"CTRE SOINS INFIRMIER REUTENBOURG"</f>
        <v>CTRE SOINS INFIRMIER REUTENBOURG</v>
      </c>
      <c r="E3237" t="str">
        <f>"COUVENT DE REINACKER"</f>
        <v>COUVENT DE REINACKER</v>
      </c>
      <c r="F3237" t="str">
        <f>""</f>
        <v/>
      </c>
      <c r="G3237" t="str">
        <f>"REINACKER"</f>
        <v>REINACKER</v>
      </c>
      <c r="H3237" t="str">
        <f>"67440"</f>
        <v>67440</v>
      </c>
      <c r="I3237" t="str">
        <f>"REUTENBOURG"</f>
        <v>REUTENBOURG</v>
      </c>
      <c r="J3237" t="str">
        <f>"03 88 70 60 50 "</f>
        <v xml:space="preserve">03 88 70 60 50 </v>
      </c>
      <c r="L3237" s="1">
        <v>1556</v>
      </c>
      <c r="M3237" t="str">
        <f t="shared" si="445"/>
        <v>124</v>
      </c>
      <c r="N3237" t="str">
        <f t="shared" si="446"/>
        <v>Centre de Santé</v>
      </c>
      <c r="O3237" t="str">
        <f>"63"</f>
        <v>63</v>
      </c>
      <c r="P3237" t="str">
        <f>"Fondation"</f>
        <v>Fondation</v>
      </c>
      <c r="Q3237" t="str">
        <f t="shared" si="443"/>
        <v>36</v>
      </c>
      <c r="R3237" t="str">
        <f t="shared" si="444"/>
        <v>Tarifs conventionnels assurance maladie</v>
      </c>
      <c r="U3237" t="str">
        <f>"670000785"</f>
        <v>670000785</v>
      </c>
    </row>
    <row r="3238" spans="1:21" x14ac:dyDescent="0.3">
      <c r="A3238" t="str">
        <f>"680002565"</f>
        <v>680002565</v>
      </c>
      <c r="B3238" t="str">
        <f>"302 134 176 00114"</f>
        <v>302 134 176 00114</v>
      </c>
      <c r="D3238" t="str">
        <f>"CENTRE DE SOINS INFIRMIERS DE CERNAY"</f>
        <v>CENTRE DE SOINS INFIRMIERS DE CERNAY</v>
      </c>
      <c r="F3238" t="str">
        <f>"35 RUE DES FABRIQUES"</f>
        <v>35 RUE DES FABRIQUES</v>
      </c>
      <c r="H3238" t="str">
        <f>"68700"</f>
        <v>68700</v>
      </c>
      <c r="I3238" t="str">
        <f>"CERNAY"</f>
        <v>CERNAY</v>
      </c>
      <c r="J3238" t="str">
        <f>"03 89 75 46 65 "</f>
        <v xml:space="preserve">03 89 75 46 65 </v>
      </c>
      <c r="K3238" t="str">
        <f>"03 89 39 84 65"</f>
        <v>03 89 39 84 65</v>
      </c>
      <c r="L3238" s="1">
        <v>1556</v>
      </c>
      <c r="M3238" t="str">
        <f t="shared" si="445"/>
        <v>124</v>
      </c>
      <c r="N3238" t="str">
        <f t="shared" si="446"/>
        <v>Centre de Santé</v>
      </c>
      <c r="O3238" t="str">
        <f>"61"</f>
        <v>61</v>
      </c>
      <c r="P3238" t="str">
        <f>"Association Loi 1901 Reconnue d'Utilité Publique"</f>
        <v>Association Loi 1901 Reconnue d'Utilité Publique</v>
      </c>
      <c r="Q3238" t="str">
        <f t="shared" si="443"/>
        <v>36</v>
      </c>
      <c r="R3238" t="str">
        <f t="shared" si="444"/>
        <v>Tarifs conventionnels assurance maladie</v>
      </c>
      <c r="U3238" t="str">
        <f>"680001492"</f>
        <v>680001492</v>
      </c>
    </row>
    <row r="3239" spans="1:21" x14ac:dyDescent="0.3">
      <c r="A3239" t="str">
        <f>"680010352"</f>
        <v>680010352</v>
      </c>
      <c r="B3239" t="str">
        <f>"317 164 689 00034"</f>
        <v>317 164 689 00034</v>
      </c>
      <c r="D3239" t="str">
        <f>"CTRE DE SOINS DIDENHEIM"</f>
        <v>CTRE DE SOINS DIDENHEIM</v>
      </c>
      <c r="F3239" t="str">
        <f>"3 RUE DE BRUNSTATT"</f>
        <v>3 RUE DE BRUNSTATT</v>
      </c>
      <c r="G3239" t="str">
        <f>"DIDENHEIM"</f>
        <v>DIDENHEIM</v>
      </c>
      <c r="H3239" t="str">
        <f>"68350"</f>
        <v>68350</v>
      </c>
      <c r="I3239" t="str">
        <f>"BRUNSTATT DIDENHEIM"</f>
        <v>BRUNSTATT DIDENHEIM</v>
      </c>
      <c r="J3239" t="str">
        <f>"03 89 06 01 38 "</f>
        <v xml:space="preserve">03 89 06 01 38 </v>
      </c>
      <c r="L3239" s="1">
        <v>1556</v>
      </c>
      <c r="M3239" t="str">
        <f t="shared" si="445"/>
        <v>124</v>
      </c>
      <c r="N3239" t="str">
        <f t="shared" si="446"/>
        <v>Centre de Santé</v>
      </c>
      <c r="O3239" t="str">
        <f>"62"</f>
        <v>62</v>
      </c>
      <c r="P3239" t="str">
        <f>"Association de Droit Local"</f>
        <v>Association de Droit Local</v>
      </c>
      <c r="Q3239" t="str">
        <f t="shared" ref="Q3239:Q3251" si="449">"36"</f>
        <v>36</v>
      </c>
      <c r="R3239" t="str">
        <f t="shared" ref="R3239:R3251" si="450">"Tarifs conventionnels assurance maladie"</f>
        <v>Tarifs conventionnels assurance maladie</v>
      </c>
      <c r="U3239" t="str">
        <f>"680013919"</f>
        <v>680013919</v>
      </c>
    </row>
    <row r="3240" spans="1:21" x14ac:dyDescent="0.3">
      <c r="A3240" t="str">
        <f>"760781740"</f>
        <v>760781740</v>
      </c>
      <c r="B3240" t="str">
        <f>"775 672 272 04720"</f>
        <v>775 672 272 04720</v>
      </c>
      <c r="D3240" t="str">
        <f>"CSI CRF GOURNAY EN BRAY"</f>
        <v>CSI CRF GOURNAY EN BRAY</v>
      </c>
      <c r="F3240" t="str">
        <f>"6 PLACE D'ARMES"</f>
        <v>6 PLACE D'ARMES</v>
      </c>
      <c r="G3240" t="str">
        <f>"BP 36"</f>
        <v>BP 36</v>
      </c>
      <c r="H3240" t="str">
        <f>"76220"</f>
        <v>76220</v>
      </c>
      <c r="I3240" t="str">
        <f>"GOURNAY EN BRAY"</f>
        <v>GOURNAY EN BRAY</v>
      </c>
      <c r="J3240" t="str">
        <f>"02 35 90 03 56 "</f>
        <v xml:space="preserve">02 35 90 03 56 </v>
      </c>
      <c r="K3240" t="str">
        <f>"02 35 09 61 99"</f>
        <v>02 35 09 61 99</v>
      </c>
      <c r="L3240" s="1">
        <v>1556</v>
      </c>
      <c r="M3240" t="str">
        <f t="shared" si="445"/>
        <v>124</v>
      </c>
      <c r="N3240" t="str">
        <f t="shared" si="446"/>
        <v>Centre de Santé</v>
      </c>
      <c r="O3240" t="str">
        <f>"61"</f>
        <v>61</v>
      </c>
      <c r="P3240" t="str">
        <f>"Association Loi 1901 Reconnue d'Utilité Publique"</f>
        <v>Association Loi 1901 Reconnue d'Utilité Publique</v>
      </c>
      <c r="Q3240" t="str">
        <f t="shared" si="449"/>
        <v>36</v>
      </c>
      <c r="R3240" t="str">
        <f t="shared" si="450"/>
        <v>Tarifs conventionnels assurance maladie</v>
      </c>
      <c r="U3240" t="str">
        <f>"750721334"</f>
        <v>750721334</v>
      </c>
    </row>
    <row r="3241" spans="1:21" x14ac:dyDescent="0.3">
      <c r="A3241" t="str">
        <f>"810004903"</f>
        <v>810004903</v>
      </c>
      <c r="B3241" t="str">
        <f>"775 685 316 00744"</f>
        <v>775 685 316 00744</v>
      </c>
      <c r="D3241" t="str">
        <f>"CSP FILIERIS DE CAGNAC LES MINES"</f>
        <v>CSP FILIERIS DE CAGNAC LES MINES</v>
      </c>
      <c r="F3241" t="str">
        <f>"14 RUE JEAN JAURES"</f>
        <v>14 RUE JEAN JAURES</v>
      </c>
      <c r="H3241" t="str">
        <f>"81130"</f>
        <v>81130</v>
      </c>
      <c r="I3241" t="str">
        <f>"CAGNAC LES MINES"</f>
        <v>CAGNAC LES MINES</v>
      </c>
      <c r="J3241" t="str">
        <f>"05 63 56 20 40 "</f>
        <v xml:space="preserve">05 63 56 20 40 </v>
      </c>
      <c r="L3241" s="1">
        <v>1556</v>
      </c>
      <c r="M3241" t="str">
        <f t="shared" si="445"/>
        <v>124</v>
      </c>
      <c r="N3241" t="str">
        <f t="shared" si="446"/>
        <v>Centre de Santé</v>
      </c>
      <c r="O3241" t="str">
        <f>"41"</f>
        <v>41</v>
      </c>
      <c r="P3241" t="str">
        <f>"Régime Spécial de Sécurité Sociale"</f>
        <v>Régime Spécial de Sécurité Sociale</v>
      </c>
      <c r="Q3241" t="str">
        <f t="shared" si="449"/>
        <v>36</v>
      </c>
      <c r="R3241" t="str">
        <f t="shared" si="450"/>
        <v>Tarifs conventionnels assurance maladie</v>
      </c>
      <c r="U3241" t="str">
        <f>"750050759"</f>
        <v>750050759</v>
      </c>
    </row>
    <row r="3242" spans="1:21" x14ac:dyDescent="0.3">
      <c r="A3242" t="str">
        <f>"020002358"</f>
        <v>020002358</v>
      </c>
      <c r="B3242" t="str">
        <f>"780 164 471 00028"</f>
        <v>780 164 471 00028</v>
      </c>
      <c r="D3242" t="str">
        <f>"CS SAINTE MARIE BOHAIN-EN-VERMANDOIS"</f>
        <v>CS SAINTE MARIE BOHAIN-EN-VERMANDOIS</v>
      </c>
      <c r="F3242" t="str">
        <f>"29 RUE JEAN JAURÈS"</f>
        <v>29 RUE JEAN JAURÈS</v>
      </c>
      <c r="H3242" t="str">
        <f>"02110"</f>
        <v>02110</v>
      </c>
      <c r="I3242" t="str">
        <f>"BOHAIN EN VERMANDOIS"</f>
        <v>BOHAIN EN VERMANDOIS</v>
      </c>
      <c r="J3242" t="str">
        <f>"03 23 07 11 01 "</f>
        <v xml:space="preserve">03 23 07 11 01 </v>
      </c>
      <c r="L3242" s="1">
        <v>367</v>
      </c>
      <c r="M3242" t="str">
        <f t="shared" si="445"/>
        <v>124</v>
      </c>
      <c r="N3242" t="str">
        <f t="shared" si="446"/>
        <v>Centre de Santé</v>
      </c>
      <c r="O3242" t="str">
        <f>"61"</f>
        <v>61</v>
      </c>
      <c r="P3242" t="str">
        <f>"Association Loi 1901 Reconnue d'Utilité Publique"</f>
        <v>Association Loi 1901 Reconnue d'Utilité Publique</v>
      </c>
      <c r="Q3242" t="str">
        <f t="shared" si="449"/>
        <v>36</v>
      </c>
      <c r="R3242" t="str">
        <f t="shared" si="450"/>
        <v>Tarifs conventionnels assurance maladie</v>
      </c>
      <c r="U3242" t="str">
        <f>"020008744"</f>
        <v>020008744</v>
      </c>
    </row>
    <row r="3243" spans="1:21" x14ac:dyDescent="0.3">
      <c r="A3243" t="str">
        <f>"020005369"</f>
        <v>020005369</v>
      </c>
      <c r="D3243" t="str">
        <f>"CS ADMR SAINT-ERME-OUTRE-ET-RAMECOURT"</f>
        <v>CS ADMR SAINT-ERME-OUTRE-ET-RAMECOURT</v>
      </c>
      <c r="F3243" t="str">
        <f>"7 RUE DES TORTUES ROYES"</f>
        <v>7 RUE DES TORTUES ROYES</v>
      </c>
      <c r="H3243" t="str">
        <f>"02820"</f>
        <v>02820</v>
      </c>
      <c r="I3243" t="str">
        <f>"ST ERME OUTRE ET RAMECOURT"</f>
        <v>ST ERME OUTRE ET RAMECOURT</v>
      </c>
      <c r="J3243" t="str">
        <f>"03 23 22 60 90 "</f>
        <v xml:space="preserve">03 23 22 60 90 </v>
      </c>
      <c r="K3243" t="str">
        <f>"03 66 40 73 13"</f>
        <v>03 66 40 73 13</v>
      </c>
      <c r="L3243" s="1">
        <v>367</v>
      </c>
      <c r="M3243" t="str">
        <f t="shared" si="445"/>
        <v>124</v>
      </c>
      <c r="N3243" t="str">
        <f t="shared" si="446"/>
        <v>Centre de Santé</v>
      </c>
      <c r="O3243" t="str">
        <f>"60"</f>
        <v>60</v>
      </c>
      <c r="P3243" t="str">
        <f>"Association Loi 1901 non Reconnue d'Utilité Publique"</f>
        <v>Association Loi 1901 non Reconnue d'Utilité Publique</v>
      </c>
      <c r="Q3243" t="str">
        <f t="shared" si="449"/>
        <v>36</v>
      </c>
      <c r="R3243" t="str">
        <f t="shared" si="450"/>
        <v>Tarifs conventionnels assurance maladie</v>
      </c>
      <c r="U3243" t="str">
        <f>"020011458"</f>
        <v>020011458</v>
      </c>
    </row>
    <row r="3244" spans="1:21" x14ac:dyDescent="0.3">
      <c r="A3244" t="str">
        <f>"020008603"</f>
        <v>020008603</v>
      </c>
      <c r="B3244" t="str">
        <f>"325 611 903 00049"</f>
        <v>325 611 903 00049</v>
      </c>
      <c r="D3244" t="str">
        <f>"CS ASVP VENDHUILE"</f>
        <v>CS ASVP VENDHUILE</v>
      </c>
      <c r="F3244" t="str">
        <f>"5 RUE DE L'ÉGLISE"</f>
        <v>5 RUE DE L'ÉGLISE</v>
      </c>
      <c r="H3244" t="str">
        <f>"02420"</f>
        <v>02420</v>
      </c>
      <c r="I3244" t="str">
        <f>"VENDHUILE"</f>
        <v>VENDHUILE</v>
      </c>
      <c r="J3244" t="str">
        <f>"03 23 66 20 91 "</f>
        <v xml:space="preserve">03 23 66 20 91 </v>
      </c>
      <c r="L3244" s="1">
        <v>367</v>
      </c>
      <c r="M3244" t="str">
        <f t="shared" si="445"/>
        <v>124</v>
      </c>
      <c r="N3244" t="str">
        <f t="shared" si="446"/>
        <v>Centre de Santé</v>
      </c>
      <c r="O3244" t="str">
        <f>"61"</f>
        <v>61</v>
      </c>
      <c r="P3244" t="str">
        <f>"Association Loi 1901 Reconnue d'Utilité Publique"</f>
        <v>Association Loi 1901 Reconnue d'Utilité Publique</v>
      </c>
      <c r="Q3244" t="str">
        <f t="shared" si="449"/>
        <v>36</v>
      </c>
      <c r="R3244" t="str">
        <f t="shared" si="450"/>
        <v>Tarifs conventionnels assurance maladie</v>
      </c>
      <c r="U3244" t="str">
        <f>"020000873"</f>
        <v>020000873</v>
      </c>
    </row>
    <row r="3245" spans="1:21" x14ac:dyDescent="0.3">
      <c r="A3245" t="str">
        <f>"020008611"</f>
        <v>020008611</v>
      </c>
      <c r="B3245" t="str">
        <f>"318 402 468 00041"</f>
        <v>318 402 468 00041</v>
      </c>
      <c r="D3245" t="str">
        <f>"CS CSIC FRESNOY-LE-GRAND"</f>
        <v>CS CSIC FRESNOY-LE-GRAND</v>
      </c>
      <c r="F3245" t="str">
        <f>"16 PLACE DU GÉNÉRAL DE GAULLE"</f>
        <v>16 PLACE DU GÉNÉRAL DE GAULLE</v>
      </c>
      <c r="H3245" t="str">
        <f>"02230"</f>
        <v>02230</v>
      </c>
      <c r="I3245" t="str">
        <f>"FRESNOY LE GRAND"</f>
        <v>FRESNOY LE GRAND</v>
      </c>
      <c r="J3245" t="str">
        <f>"03 23 09 17 89 "</f>
        <v xml:space="preserve">03 23 09 17 89 </v>
      </c>
      <c r="L3245" s="1">
        <v>367</v>
      </c>
      <c r="M3245" t="str">
        <f t="shared" si="445"/>
        <v>124</v>
      </c>
      <c r="N3245" t="str">
        <f t="shared" si="446"/>
        <v>Centre de Santé</v>
      </c>
      <c r="O3245" t="str">
        <f>"64"</f>
        <v>64</v>
      </c>
      <c r="P3245" t="str">
        <f>"Congrégation"</f>
        <v>Congrégation</v>
      </c>
      <c r="Q3245" t="str">
        <f t="shared" si="449"/>
        <v>36</v>
      </c>
      <c r="R3245" t="str">
        <f t="shared" si="450"/>
        <v>Tarifs conventionnels assurance maladie</v>
      </c>
      <c r="U3245" t="str">
        <f>"750815144"</f>
        <v>750815144</v>
      </c>
    </row>
    <row r="3246" spans="1:21" x14ac:dyDescent="0.3">
      <c r="A3246" t="str">
        <f>"100000488"</f>
        <v>100000488</v>
      </c>
      <c r="B3246" t="str">
        <f>"775 555 295 00044"</f>
        <v>775 555 295 00044</v>
      </c>
      <c r="D3246" t="str">
        <f>"CENTRE SANTE DENTAIRE DE LA CPAM AUBE"</f>
        <v>CENTRE SANTE DENTAIRE DE LA CPAM AUBE</v>
      </c>
      <c r="F3246" t="str">
        <f>"56 BOULEVARD DU 14 JUILLET"</f>
        <v>56 BOULEVARD DU 14 JUILLET</v>
      </c>
      <c r="H3246" t="str">
        <f>"10000"</f>
        <v>10000</v>
      </c>
      <c r="I3246" t="str">
        <f>"TROYES"</f>
        <v>TROYES</v>
      </c>
      <c r="J3246" t="str">
        <f>"03 51 59 80 30 "</f>
        <v xml:space="preserve">03 51 59 80 30 </v>
      </c>
      <c r="K3246" t="str">
        <f>"03 25 73 63 04"</f>
        <v>03 25 73 63 04</v>
      </c>
      <c r="L3246" s="1">
        <v>367</v>
      </c>
      <c r="M3246" t="str">
        <f t="shared" si="445"/>
        <v>124</v>
      </c>
      <c r="N3246" t="str">
        <f t="shared" si="446"/>
        <v>Centre de Santé</v>
      </c>
      <c r="O3246" t="str">
        <f>"40"</f>
        <v>40</v>
      </c>
      <c r="P3246" t="str">
        <f>"Régime Général de Sécurité Sociale"</f>
        <v>Régime Général de Sécurité Sociale</v>
      </c>
      <c r="Q3246" t="str">
        <f t="shared" si="449"/>
        <v>36</v>
      </c>
      <c r="R3246" t="str">
        <f t="shared" si="450"/>
        <v>Tarifs conventionnels assurance maladie</v>
      </c>
      <c r="U3246" t="str">
        <f>"100005966"</f>
        <v>100005966</v>
      </c>
    </row>
    <row r="3247" spans="1:21" x14ac:dyDescent="0.3">
      <c r="A3247" t="str">
        <f>"140000688"</f>
        <v>140000688</v>
      </c>
      <c r="B3247" t="str">
        <f>"794 994 277 02139"</f>
        <v>794 994 277 02139</v>
      </c>
      <c r="D3247" t="str">
        <f>"CENTRE DE SOINS INFIRMIERS"</f>
        <v>CENTRE DE SOINS INFIRMIERS</v>
      </c>
      <c r="F3247" t="str">
        <f>"42 RUE DE BEAUVAIS"</f>
        <v>42 RUE DE BEAUVAIS</v>
      </c>
      <c r="H3247" t="str">
        <f>"14400"</f>
        <v>14400</v>
      </c>
      <c r="I3247" t="str">
        <f>"BAYEUX"</f>
        <v>BAYEUX</v>
      </c>
      <c r="J3247" t="str">
        <f>"02 31 44 78 04 "</f>
        <v xml:space="preserve">02 31 44 78 04 </v>
      </c>
      <c r="K3247" t="str">
        <f>"02 31 53 68 97"</f>
        <v>02 31 53 68 97</v>
      </c>
      <c r="L3247" s="1">
        <v>367</v>
      </c>
      <c r="M3247" t="str">
        <f t="shared" si="445"/>
        <v>124</v>
      </c>
      <c r="N3247" t="str">
        <f t="shared" si="446"/>
        <v>Centre de Santé</v>
      </c>
      <c r="O3247" t="str">
        <f>"47"</f>
        <v>47</v>
      </c>
      <c r="P3247" t="str">
        <f>"Société Mutualiste"</f>
        <v>Société Mutualiste</v>
      </c>
      <c r="Q3247" t="str">
        <f t="shared" si="449"/>
        <v>36</v>
      </c>
      <c r="R3247" t="str">
        <f t="shared" si="450"/>
        <v>Tarifs conventionnels assurance maladie</v>
      </c>
      <c r="U3247" t="str">
        <f>"760000539"</f>
        <v>760000539</v>
      </c>
    </row>
    <row r="3248" spans="1:21" x14ac:dyDescent="0.3">
      <c r="A3248" t="str">
        <f>"680002722"</f>
        <v>680002722</v>
      </c>
      <c r="B3248" t="str">
        <f>"317 164 689 00141"</f>
        <v>317 164 689 00141</v>
      </c>
      <c r="D3248" t="str">
        <f>"CENTRE DE SOINS CITE"</f>
        <v>CENTRE DE SOINS CITE</v>
      </c>
      <c r="F3248" t="str">
        <f>"118 RUE DE STRASBOURG"</f>
        <v>118 RUE DE STRASBOURG</v>
      </c>
      <c r="H3248" t="str">
        <f>"68200"</f>
        <v>68200</v>
      </c>
      <c r="I3248" t="str">
        <f>"MULHOUSE"</f>
        <v>MULHOUSE</v>
      </c>
      <c r="J3248" t="str">
        <f>"03 89 43 00 20 "</f>
        <v xml:space="preserve">03 89 43 00 20 </v>
      </c>
      <c r="K3248" t="str">
        <f>"03 89 43 04 23"</f>
        <v>03 89 43 04 23</v>
      </c>
      <c r="L3248" s="1">
        <v>367</v>
      </c>
      <c r="M3248" t="str">
        <f t="shared" si="445"/>
        <v>124</v>
      </c>
      <c r="N3248" t="str">
        <f t="shared" si="446"/>
        <v>Centre de Santé</v>
      </c>
      <c r="O3248" t="str">
        <f>"62"</f>
        <v>62</v>
      </c>
      <c r="P3248" t="str">
        <f>"Association de Droit Local"</f>
        <v>Association de Droit Local</v>
      </c>
      <c r="Q3248" t="str">
        <f t="shared" si="449"/>
        <v>36</v>
      </c>
      <c r="R3248" t="str">
        <f t="shared" si="450"/>
        <v>Tarifs conventionnels assurance maladie</v>
      </c>
      <c r="U3248" t="str">
        <f>"680013919"</f>
        <v>680013919</v>
      </c>
    </row>
    <row r="3249" spans="1:21" x14ac:dyDescent="0.3">
      <c r="A3249" t="str">
        <f>"760029520"</f>
        <v>760029520</v>
      </c>
      <c r="B3249" t="str">
        <f>"775 672 272 04670"</f>
        <v>775 672 272 04670</v>
      </c>
      <c r="D3249" t="str">
        <f>"CSI CRF NOTRE-DAME DE GRAVENCHON"</f>
        <v>CSI CRF NOTRE-DAME DE GRAVENCHON</v>
      </c>
      <c r="F3249" t="str">
        <f>"1 RUE EMILE ZOLA"</f>
        <v>1 RUE EMILE ZOLA</v>
      </c>
      <c r="H3249" t="str">
        <f>"76330"</f>
        <v>76330</v>
      </c>
      <c r="I3249" t="str">
        <f>"PORT JEROME SUR SEINE"</f>
        <v>PORT JEROME SUR SEINE</v>
      </c>
      <c r="J3249" t="str">
        <f>"02 35 38 64 78 "</f>
        <v xml:space="preserve">02 35 38 64 78 </v>
      </c>
      <c r="L3249" s="1">
        <v>1</v>
      </c>
      <c r="M3249" t="str">
        <f t="shared" si="445"/>
        <v>124</v>
      </c>
      <c r="N3249" t="str">
        <f t="shared" si="446"/>
        <v>Centre de Santé</v>
      </c>
      <c r="O3249" t="str">
        <f>"61"</f>
        <v>61</v>
      </c>
      <c r="P3249" t="str">
        <f>"Association Loi 1901 Reconnue d'Utilité Publique"</f>
        <v>Association Loi 1901 Reconnue d'Utilité Publique</v>
      </c>
      <c r="Q3249" t="str">
        <f t="shared" si="449"/>
        <v>36</v>
      </c>
      <c r="R3249" t="str">
        <f t="shared" si="450"/>
        <v>Tarifs conventionnels assurance maladie</v>
      </c>
      <c r="U3249" t="str">
        <f>"750721334"</f>
        <v>750721334</v>
      </c>
    </row>
    <row r="3250" spans="1:21" x14ac:dyDescent="0.3">
      <c r="A3250" t="str">
        <f>"760029538"</f>
        <v>760029538</v>
      </c>
      <c r="B3250" t="str">
        <f>"775 672 272 04621"</f>
        <v>775 672 272 04621</v>
      </c>
      <c r="D3250" t="str">
        <f>"CSI CRF SAINT-VALERY EN CAUX"</f>
        <v>CSI CRF SAINT-VALERY EN CAUX</v>
      </c>
      <c r="F3250" t="str">
        <f>"1 RUE DE BOHEME"</f>
        <v>1 RUE DE BOHEME</v>
      </c>
      <c r="H3250" t="str">
        <f>"76460"</f>
        <v>76460</v>
      </c>
      <c r="I3250" t="str">
        <f>"ST VALERY EN CAUX"</f>
        <v>ST VALERY EN CAUX</v>
      </c>
      <c r="J3250" t="str">
        <f>"02 35 97 10 99 "</f>
        <v xml:space="preserve">02 35 97 10 99 </v>
      </c>
      <c r="K3250" t="str">
        <f>"02 35 57 09 73"</f>
        <v>02 35 57 09 73</v>
      </c>
      <c r="L3250" s="1">
        <v>1</v>
      </c>
      <c r="M3250" t="str">
        <f t="shared" si="445"/>
        <v>124</v>
      </c>
      <c r="N3250" t="str">
        <f t="shared" si="446"/>
        <v>Centre de Santé</v>
      </c>
      <c r="O3250" t="str">
        <f>"61"</f>
        <v>61</v>
      </c>
      <c r="P3250" t="str">
        <f>"Association Loi 1901 Reconnue d'Utilité Publique"</f>
        <v>Association Loi 1901 Reconnue d'Utilité Publique</v>
      </c>
      <c r="Q3250" t="str">
        <f t="shared" si="449"/>
        <v>36</v>
      </c>
      <c r="R3250" t="str">
        <f t="shared" si="450"/>
        <v>Tarifs conventionnels assurance maladie</v>
      </c>
      <c r="U3250" t="str">
        <f>"750721334"</f>
        <v>750721334</v>
      </c>
    </row>
    <row r="3251" spans="1:21" x14ac:dyDescent="0.3">
      <c r="A3251" t="str">
        <f>"760029546"</f>
        <v>760029546</v>
      </c>
      <c r="B3251" t="str">
        <f>"775 672 272 12475"</f>
        <v>775 672 272 12475</v>
      </c>
      <c r="D3251" t="str">
        <f>"CSI CRF YERVILLE"</f>
        <v>CSI CRF YERVILLE</v>
      </c>
      <c r="F3251" t="str">
        <f>"RUE BAUCHE"</f>
        <v>RUE BAUCHE</v>
      </c>
      <c r="G3251" t="str">
        <f>"LOTISSEMENT LA FERME"</f>
        <v>LOTISSEMENT LA FERME</v>
      </c>
      <c r="H3251" t="str">
        <f>"76760"</f>
        <v>76760</v>
      </c>
      <c r="I3251" t="str">
        <f>"YERVILLE"</f>
        <v>YERVILLE</v>
      </c>
      <c r="J3251" t="str">
        <f>"02 35 96 81 67 "</f>
        <v xml:space="preserve">02 35 96 81 67 </v>
      </c>
      <c r="L3251" s="1">
        <v>1</v>
      </c>
      <c r="M3251" t="str">
        <f t="shared" si="445"/>
        <v>124</v>
      </c>
      <c r="N3251" t="str">
        <f t="shared" si="446"/>
        <v>Centre de Santé</v>
      </c>
      <c r="O3251" t="str">
        <f>"61"</f>
        <v>61</v>
      </c>
      <c r="P3251" t="str">
        <f>"Association Loi 1901 Reconnue d'Utilité Publique"</f>
        <v>Association Loi 1901 Reconnue d'Utilité Publique</v>
      </c>
      <c r="Q3251" t="str">
        <f t="shared" si="449"/>
        <v>36</v>
      </c>
      <c r="R3251" t="str">
        <f t="shared" si="450"/>
        <v>Tarifs conventionnels assurance maladie</v>
      </c>
      <c r="U3251" t="str">
        <f>"750721334"</f>
        <v>750721334</v>
      </c>
    </row>
  </sheetData>
  <autoFilter ref="A1:U3213" xr:uid="{00000000-0009-0000-0000-000001000000}">
    <sortState xmlns:xlrd2="http://schemas.microsoft.com/office/spreadsheetml/2017/richdata2" ref="A2:U3251">
      <sortCondition descending="1" ref="L1:L3213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</vt:lpstr>
      <vt:lpstr>donnees finess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GPHILIPSON</dc:creator>
  <cp:lastModifiedBy>Yann BELLOIR</cp:lastModifiedBy>
  <dcterms:created xsi:type="dcterms:W3CDTF">2022-01-07T17:27:03Z</dcterms:created>
  <dcterms:modified xsi:type="dcterms:W3CDTF">2023-06-20T15:03:17Z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ploadDS">
    <vt:bool>true</vt:bool>
  </property>
</Properties>
</file>